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EstaPastaDeTrabalho"/>
  <mc:AlternateContent xmlns:mc="http://schemas.openxmlformats.org/markup-compatibility/2006">
    <mc:Choice Requires="x15">
      <x15ac:absPath xmlns:x15ac="http://schemas.microsoft.com/office/spreadsheetml/2010/11/ac" url="C:\Users\paran\OneDrive\Área de Trabalho\Painel\painel-analise-ativos\Localhost_Ciclo de ativos\"/>
    </mc:Choice>
  </mc:AlternateContent>
  <xr:revisionPtr revIDLastSave="0" documentId="13_ncr:1_{B6CFEB0E-C66A-431E-A26C-FEA36E81668B}" xr6:coauthVersionLast="47" xr6:coauthVersionMax="47" xr10:uidLastSave="{00000000-0000-0000-0000-000000000000}"/>
  <bookViews>
    <workbookView xWindow="-120" yWindow="-120" windowWidth="20730" windowHeight="11160" xr2:uid="{00000000-000D-0000-FFFF-FFFF00000000}"/>
  </bookViews>
  <sheets>
    <sheet name="Bovespa" sheetId="1" r:id="rId1"/>
    <sheet name="Streamlit" sheetId="9" r:id="rId2"/>
    <sheet name="Criptos" sheetId="10" r:id="rId3"/>
    <sheet name="BDR" sheetId="13" r:id="rId4"/>
    <sheet name="ETF" sheetId="11" r:id="rId5"/>
    <sheet name="FII" sheetId="12" r:id="rId6"/>
    <sheet name="Cotacoes" sheetId="4" r:id="rId7"/>
    <sheet name="Fundamentus" sheetId="6" r:id="rId8"/>
  </sheets>
  <definedNames>
    <definedName name="_xlnm._FilterDatabase" localSheetId="0" hidden="1">Bovespa!$A$5:$FK$271</definedName>
    <definedName name="_xlnm._FilterDatabase" localSheetId="7" hidden="1">Fundamentus!$A$1:$U$1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I22" i="1" l="1"/>
  <c r="CI7" i="1"/>
  <c r="CI8" i="1"/>
  <c r="CI9" i="1"/>
  <c r="CI10" i="1"/>
  <c r="CI11" i="1"/>
  <c r="CI12" i="1"/>
  <c r="CI13" i="1"/>
  <c r="CI14" i="1"/>
  <c r="CI15" i="1"/>
  <c r="CI16" i="1"/>
  <c r="CI17" i="1"/>
  <c r="CI18" i="1"/>
  <c r="CI19" i="1"/>
  <c r="CI20" i="1"/>
  <c r="CI21" i="1"/>
  <c r="CI23" i="1"/>
  <c r="CI24" i="1"/>
  <c r="CI25" i="1"/>
  <c r="CI26" i="1"/>
  <c r="CI27" i="1"/>
  <c r="CI28" i="1"/>
  <c r="CI29" i="1"/>
  <c r="CI30" i="1"/>
  <c r="CI31" i="1"/>
  <c r="CI32" i="1"/>
  <c r="CI33" i="1"/>
  <c r="CI34" i="1"/>
  <c r="CI35" i="1"/>
  <c r="CI36" i="1"/>
  <c r="CI37" i="1"/>
  <c r="CI38" i="1"/>
  <c r="CI39" i="1"/>
  <c r="CI40" i="1"/>
  <c r="CI41" i="1"/>
  <c r="CI42" i="1"/>
  <c r="CI43" i="1"/>
  <c r="CI44" i="1"/>
  <c r="CI45" i="1"/>
  <c r="CI46" i="1"/>
  <c r="CI47" i="1"/>
  <c r="CI48" i="1"/>
  <c r="CI49" i="1"/>
  <c r="CI50" i="1"/>
  <c r="CI51" i="1"/>
  <c r="CI52" i="1"/>
  <c r="CI53" i="1"/>
  <c r="CI54" i="1"/>
  <c r="CI55" i="1"/>
  <c r="CI56" i="1"/>
  <c r="CI57" i="1"/>
  <c r="CI58" i="1"/>
  <c r="CI59" i="1"/>
  <c r="CI60" i="1"/>
  <c r="CI61" i="1"/>
  <c r="CI62" i="1"/>
  <c r="CI63" i="1"/>
  <c r="CI64" i="1"/>
  <c r="CI65" i="1"/>
  <c r="CI66" i="1"/>
  <c r="CI67" i="1"/>
  <c r="CI68" i="1"/>
  <c r="CI69" i="1"/>
  <c r="CI70" i="1"/>
  <c r="CI71" i="1"/>
  <c r="CI72" i="1"/>
  <c r="CI73" i="1"/>
  <c r="CI74" i="1"/>
  <c r="CI75" i="1"/>
  <c r="CI76" i="1"/>
  <c r="CI77" i="1"/>
  <c r="CI78" i="1"/>
  <c r="CI79" i="1"/>
  <c r="CI80" i="1"/>
  <c r="CI81" i="1"/>
  <c r="CI82" i="1"/>
  <c r="CI83" i="1"/>
  <c r="CI84" i="1"/>
  <c r="CI85" i="1"/>
  <c r="CI86" i="1"/>
  <c r="CI87" i="1"/>
  <c r="CI88" i="1"/>
  <c r="CI89" i="1"/>
  <c r="CI90" i="1"/>
  <c r="CI91" i="1"/>
  <c r="CI92" i="1"/>
  <c r="CI93" i="1"/>
  <c r="CI94" i="1"/>
  <c r="CI95" i="1"/>
  <c r="CI96" i="1"/>
  <c r="CI97" i="1"/>
  <c r="CI98" i="1"/>
  <c r="CI99" i="1"/>
  <c r="CI100" i="1"/>
  <c r="CI101" i="1"/>
  <c r="CI102" i="1"/>
  <c r="CI103" i="1"/>
  <c r="CI104" i="1"/>
  <c r="CI105" i="1"/>
  <c r="CI106" i="1"/>
  <c r="CI107" i="1"/>
  <c r="CI108" i="1"/>
  <c r="CI109" i="1"/>
  <c r="CI110" i="1"/>
  <c r="CI111" i="1"/>
  <c r="CI112" i="1"/>
  <c r="CI113" i="1"/>
  <c r="CI114" i="1"/>
  <c r="CI115" i="1"/>
  <c r="CI116" i="1"/>
  <c r="CI117" i="1"/>
  <c r="CI118" i="1"/>
  <c r="CI119" i="1"/>
  <c r="CI120" i="1"/>
  <c r="CI121" i="1"/>
  <c r="CI122" i="1"/>
  <c r="CI123" i="1"/>
  <c r="CI124" i="1"/>
  <c r="CI125" i="1"/>
  <c r="CI126" i="1"/>
  <c r="CI127" i="1"/>
  <c r="CI128" i="1"/>
  <c r="CI129" i="1"/>
  <c r="CI130" i="1"/>
  <c r="CI131" i="1"/>
  <c r="CI132" i="1"/>
  <c r="CI133" i="1"/>
  <c r="CI134" i="1"/>
  <c r="CI135" i="1"/>
  <c r="CI136" i="1"/>
  <c r="CI137" i="1"/>
  <c r="CI138" i="1"/>
  <c r="CI139" i="1"/>
  <c r="CI140" i="1"/>
  <c r="CI141" i="1"/>
  <c r="CI142" i="1"/>
  <c r="CI143" i="1"/>
  <c r="CI144" i="1"/>
  <c r="CI145" i="1"/>
  <c r="CI146" i="1"/>
  <c r="CI147" i="1"/>
  <c r="CI148" i="1"/>
  <c r="CI149" i="1"/>
  <c r="CI150" i="1"/>
  <c r="CI151" i="1"/>
  <c r="CI152" i="1"/>
  <c r="CI153" i="1"/>
  <c r="CI154" i="1"/>
  <c r="CI155" i="1"/>
  <c r="CI156" i="1"/>
  <c r="CI157" i="1"/>
  <c r="CI158" i="1"/>
  <c r="CI159" i="1"/>
  <c r="CI160" i="1"/>
  <c r="CI161" i="1"/>
  <c r="CI162" i="1"/>
  <c r="CI163" i="1"/>
  <c r="CI164" i="1"/>
  <c r="CI165" i="1"/>
  <c r="CI166" i="1"/>
  <c r="CI167" i="1"/>
  <c r="CI168" i="1"/>
  <c r="CI169" i="1"/>
  <c r="CI170" i="1"/>
  <c r="CI171" i="1"/>
  <c r="CI172" i="1"/>
  <c r="CI173" i="1"/>
  <c r="CI174" i="1"/>
  <c r="CI175" i="1"/>
  <c r="CI176" i="1"/>
  <c r="CI177" i="1"/>
  <c r="CI178" i="1"/>
  <c r="CI179" i="1"/>
  <c r="CI180" i="1"/>
  <c r="CI181" i="1"/>
  <c r="CI182" i="1"/>
  <c r="CI183" i="1"/>
  <c r="CI184" i="1"/>
  <c r="CI185" i="1"/>
  <c r="CI186" i="1"/>
  <c r="CI187" i="1"/>
  <c r="CI188" i="1"/>
  <c r="CI189" i="1"/>
  <c r="CI190" i="1"/>
  <c r="CI191" i="1"/>
  <c r="CI192" i="1"/>
  <c r="CI193" i="1"/>
  <c r="CI194" i="1"/>
  <c r="CI195" i="1"/>
  <c r="CI196" i="1"/>
  <c r="CI197" i="1"/>
  <c r="CI198" i="1"/>
  <c r="CI199" i="1"/>
  <c r="CI200" i="1"/>
  <c r="CI201" i="1"/>
  <c r="CI202" i="1"/>
  <c r="CI203" i="1"/>
  <c r="CI204" i="1"/>
  <c r="CI205" i="1"/>
  <c r="CI206" i="1"/>
  <c r="CI207" i="1"/>
  <c r="CI208" i="1"/>
  <c r="CI209" i="1"/>
  <c r="CI210" i="1"/>
  <c r="CI211" i="1"/>
  <c r="CI212" i="1"/>
  <c r="CI213" i="1"/>
  <c r="CI214" i="1"/>
  <c r="CI215" i="1"/>
  <c r="CI216" i="1"/>
  <c r="CI217" i="1"/>
  <c r="CI218" i="1"/>
  <c r="CI219" i="1"/>
  <c r="CI220" i="1"/>
  <c r="CI221" i="1"/>
  <c r="CI222" i="1"/>
  <c r="CI223" i="1"/>
  <c r="CI224" i="1"/>
  <c r="CI225" i="1"/>
  <c r="CI226" i="1"/>
  <c r="CI227" i="1"/>
  <c r="CI228" i="1"/>
  <c r="CI229" i="1"/>
  <c r="CI230" i="1"/>
  <c r="CI231" i="1"/>
  <c r="CI232" i="1"/>
  <c r="CI233" i="1"/>
  <c r="CI234" i="1"/>
  <c r="CI235" i="1"/>
  <c r="CI236" i="1"/>
  <c r="CI237" i="1"/>
  <c r="CI238" i="1"/>
  <c r="CI239" i="1"/>
  <c r="CI240" i="1"/>
  <c r="CI241" i="1"/>
  <c r="CI242" i="1"/>
  <c r="CI243" i="1"/>
  <c r="CI244" i="1"/>
  <c r="CI245" i="1"/>
  <c r="CI246" i="1"/>
  <c r="CI247" i="1"/>
  <c r="CI248" i="1"/>
  <c r="CI249" i="1"/>
  <c r="CI250" i="1"/>
  <c r="CI251" i="1"/>
  <c r="CI252" i="1"/>
  <c r="CI253" i="1"/>
  <c r="CI254" i="1"/>
  <c r="CI255" i="1"/>
  <c r="CI256" i="1"/>
  <c r="CI257" i="1"/>
  <c r="CI258" i="1"/>
  <c r="CI259" i="1"/>
  <c r="CI260" i="1"/>
  <c r="CI261" i="1"/>
  <c r="CI262" i="1"/>
  <c r="CI263" i="1"/>
  <c r="CI264" i="1"/>
  <c r="CI265" i="1"/>
  <c r="CI266" i="1"/>
  <c r="CI267" i="1"/>
  <c r="CI268" i="1"/>
  <c r="CI269" i="1"/>
  <c r="CI270" i="1"/>
  <c r="CI271" i="1"/>
  <c r="CI6" i="1"/>
  <c r="DY7" i="1"/>
  <c r="DY8" i="1"/>
  <c r="DY9" i="1"/>
  <c r="DY10" i="1"/>
  <c r="DY11" i="1"/>
  <c r="DY12" i="1"/>
  <c r="DY13" i="1"/>
  <c r="DY14" i="1"/>
  <c r="DY15" i="1"/>
  <c r="DY16" i="1"/>
  <c r="DY17" i="1"/>
  <c r="DY18" i="1"/>
  <c r="DY19" i="1"/>
  <c r="DY20" i="1"/>
  <c r="DY21" i="1"/>
  <c r="DY22" i="1"/>
  <c r="DY23" i="1"/>
  <c r="DY24" i="1"/>
  <c r="DY25" i="1"/>
  <c r="DY26" i="1"/>
  <c r="DY27" i="1"/>
  <c r="DY28" i="1"/>
  <c r="DY29" i="1"/>
  <c r="DY30" i="1"/>
  <c r="DY31" i="1"/>
  <c r="DY32" i="1"/>
  <c r="DY33" i="1"/>
  <c r="DY34" i="1"/>
  <c r="DY35" i="1"/>
  <c r="DY36" i="1"/>
  <c r="DY37" i="1"/>
  <c r="DY38" i="1"/>
  <c r="DY39" i="1"/>
  <c r="DY40" i="1"/>
  <c r="DY41" i="1"/>
  <c r="DY42" i="1"/>
  <c r="DY43" i="1"/>
  <c r="DY44" i="1"/>
  <c r="DY45" i="1"/>
  <c r="DY46" i="1"/>
  <c r="DY47" i="1"/>
  <c r="DY48" i="1"/>
  <c r="DY49" i="1"/>
  <c r="DY50" i="1"/>
  <c r="DY51" i="1"/>
  <c r="DY52" i="1"/>
  <c r="DY53" i="1"/>
  <c r="DY54" i="1"/>
  <c r="DY55" i="1"/>
  <c r="DY56" i="1"/>
  <c r="DY57" i="1"/>
  <c r="DY58" i="1"/>
  <c r="DY59" i="1"/>
  <c r="DY60" i="1"/>
  <c r="DY61" i="1"/>
  <c r="DY62" i="1"/>
  <c r="DY63" i="1"/>
  <c r="DY64" i="1"/>
  <c r="DY65" i="1"/>
  <c r="DY66" i="1"/>
  <c r="DY67" i="1"/>
  <c r="DY68" i="1"/>
  <c r="DY69" i="1"/>
  <c r="DY70" i="1"/>
  <c r="DY71" i="1"/>
  <c r="DY72" i="1"/>
  <c r="DY73" i="1"/>
  <c r="DY74" i="1"/>
  <c r="DY75" i="1"/>
  <c r="DY76" i="1"/>
  <c r="DY77" i="1"/>
  <c r="DY78" i="1"/>
  <c r="DY79" i="1"/>
  <c r="DY80" i="1"/>
  <c r="DY81" i="1"/>
  <c r="DY82" i="1"/>
  <c r="DY83" i="1"/>
  <c r="DY84" i="1"/>
  <c r="DY85" i="1"/>
  <c r="DY86" i="1"/>
  <c r="DY87" i="1"/>
  <c r="DY88" i="1"/>
  <c r="DY89" i="1"/>
  <c r="DY90" i="1"/>
  <c r="DY91" i="1"/>
  <c r="DY92" i="1"/>
  <c r="DY93" i="1"/>
  <c r="DY94" i="1"/>
  <c r="DY95" i="1"/>
  <c r="DY96" i="1"/>
  <c r="DY97" i="1"/>
  <c r="DY98" i="1"/>
  <c r="DY99" i="1"/>
  <c r="DY100" i="1"/>
  <c r="DY101" i="1"/>
  <c r="DY102" i="1"/>
  <c r="DY103" i="1"/>
  <c r="DY104" i="1"/>
  <c r="DY105" i="1"/>
  <c r="DY106" i="1"/>
  <c r="DY107" i="1"/>
  <c r="DY108" i="1"/>
  <c r="DY109" i="1"/>
  <c r="DY110" i="1"/>
  <c r="DY111" i="1"/>
  <c r="DY112" i="1"/>
  <c r="DY113" i="1"/>
  <c r="DY114" i="1"/>
  <c r="DY115" i="1"/>
  <c r="DY116" i="1"/>
  <c r="DY117" i="1"/>
  <c r="DY118" i="1"/>
  <c r="DY119" i="1"/>
  <c r="DY120" i="1"/>
  <c r="DY121" i="1"/>
  <c r="DY122" i="1"/>
  <c r="DY123" i="1"/>
  <c r="DY124" i="1"/>
  <c r="DY125" i="1"/>
  <c r="DY126" i="1"/>
  <c r="DY127" i="1"/>
  <c r="DY128" i="1"/>
  <c r="DY129" i="1"/>
  <c r="DY130" i="1"/>
  <c r="DY131" i="1"/>
  <c r="DY132" i="1"/>
  <c r="DY133" i="1"/>
  <c r="DY134" i="1"/>
  <c r="DY135" i="1"/>
  <c r="DY136" i="1"/>
  <c r="DY137" i="1"/>
  <c r="DY138" i="1"/>
  <c r="DY139" i="1"/>
  <c r="DY140" i="1"/>
  <c r="DY141" i="1"/>
  <c r="DY142" i="1"/>
  <c r="DY143" i="1"/>
  <c r="DY144" i="1"/>
  <c r="DY145" i="1"/>
  <c r="DY146" i="1"/>
  <c r="DY147" i="1"/>
  <c r="DY148" i="1"/>
  <c r="DY149" i="1"/>
  <c r="DY150" i="1"/>
  <c r="DY151" i="1"/>
  <c r="DY152" i="1"/>
  <c r="DY153" i="1"/>
  <c r="DY154" i="1"/>
  <c r="DY155" i="1"/>
  <c r="DY156" i="1"/>
  <c r="DY157" i="1"/>
  <c r="DY158" i="1"/>
  <c r="DY159" i="1"/>
  <c r="DY160" i="1"/>
  <c r="DY161" i="1"/>
  <c r="DY162" i="1"/>
  <c r="DY163" i="1"/>
  <c r="DY164" i="1"/>
  <c r="DY165" i="1"/>
  <c r="DY166" i="1"/>
  <c r="DY167" i="1"/>
  <c r="DY168" i="1"/>
  <c r="DY169" i="1"/>
  <c r="DY170" i="1"/>
  <c r="DY171" i="1"/>
  <c r="DY172" i="1"/>
  <c r="DY173" i="1"/>
  <c r="DY174" i="1"/>
  <c r="DY175" i="1"/>
  <c r="DY176" i="1"/>
  <c r="DY177" i="1"/>
  <c r="DY178" i="1"/>
  <c r="DY179" i="1"/>
  <c r="DY180" i="1"/>
  <c r="DY181" i="1"/>
  <c r="DY182" i="1"/>
  <c r="DY183" i="1"/>
  <c r="DY184" i="1"/>
  <c r="DY185" i="1"/>
  <c r="DY186" i="1"/>
  <c r="DY187" i="1"/>
  <c r="DY188" i="1"/>
  <c r="DY189" i="1"/>
  <c r="DY190" i="1"/>
  <c r="DY191" i="1"/>
  <c r="DY192" i="1"/>
  <c r="DY193" i="1"/>
  <c r="DY194" i="1"/>
  <c r="DY195" i="1"/>
  <c r="DY196" i="1"/>
  <c r="DY197" i="1"/>
  <c r="DY198" i="1"/>
  <c r="DY199" i="1"/>
  <c r="DY200" i="1"/>
  <c r="DY201" i="1"/>
  <c r="DY202" i="1"/>
  <c r="DY203" i="1"/>
  <c r="DY204" i="1"/>
  <c r="DY205" i="1"/>
  <c r="DY206" i="1"/>
  <c r="DY207" i="1"/>
  <c r="DY208" i="1"/>
  <c r="DY209" i="1"/>
  <c r="DY210" i="1"/>
  <c r="DY211" i="1"/>
  <c r="DY212" i="1"/>
  <c r="DY213" i="1"/>
  <c r="DY214" i="1"/>
  <c r="DY215" i="1"/>
  <c r="DY216" i="1"/>
  <c r="DY217" i="1"/>
  <c r="DY218" i="1"/>
  <c r="DY219" i="1"/>
  <c r="DY220" i="1"/>
  <c r="DY221" i="1"/>
  <c r="DY222" i="1"/>
  <c r="DY223" i="1"/>
  <c r="DY224" i="1"/>
  <c r="DY225" i="1"/>
  <c r="DY226" i="1"/>
  <c r="DY227" i="1"/>
  <c r="DY228" i="1"/>
  <c r="DY229" i="1"/>
  <c r="DY230" i="1"/>
  <c r="DY231" i="1"/>
  <c r="DY232" i="1"/>
  <c r="DY233" i="1"/>
  <c r="DY234" i="1"/>
  <c r="DY235" i="1"/>
  <c r="DY236" i="1"/>
  <c r="DY237" i="1"/>
  <c r="DY238" i="1"/>
  <c r="DY239" i="1"/>
  <c r="DY240" i="1"/>
  <c r="DY241" i="1"/>
  <c r="DY242" i="1"/>
  <c r="DY243" i="1"/>
  <c r="DY244" i="1"/>
  <c r="DY245" i="1"/>
  <c r="DY246" i="1"/>
  <c r="DY247" i="1"/>
  <c r="DY248" i="1"/>
  <c r="DY249" i="1"/>
  <c r="DY250" i="1"/>
  <c r="DY251" i="1"/>
  <c r="DY252" i="1"/>
  <c r="DY253" i="1"/>
  <c r="DY254" i="1"/>
  <c r="DY255" i="1"/>
  <c r="DY256" i="1"/>
  <c r="DY257" i="1"/>
  <c r="DY258" i="1"/>
  <c r="DY259" i="1"/>
  <c r="DY260" i="1"/>
  <c r="DY261" i="1"/>
  <c r="DY262" i="1"/>
  <c r="DY263" i="1"/>
  <c r="DY264" i="1"/>
  <c r="DY265" i="1"/>
  <c r="DY266" i="1"/>
  <c r="DY267" i="1"/>
  <c r="DY268" i="1"/>
  <c r="DY269" i="1"/>
  <c r="DY270" i="1"/>
  <c r="DY271" i="1"/>
  <c r="DY6" i="1"/>
  <c r="CD7" i="1"/>
  <c r="CE7" i="1"/>
  <c r="CF7" i="1"/>
  <c r="CD8" i="1"/>
  <c r="CE8" i="1"/>
  <c r="CF8" i="1"/>
  <c r="CD9" i="1"/>
  <c r="CE9" i="1"/>
  <c r="CP9" i="1" s="1"/>
  <c r="CF9" i="1"/>
  <c r="CD10" i="1"/>
  <c r="CE10" i="1"/>
  <c r="CF10" i="1"/>
  <c r="CD11" i="1"/>
  <c r="CE11" i="1"/>
  <c r="CF11" i="1"/>
  <c r="CD12" i="1"/>
  <c r="CE12" i="1"/>
  <c r="CF12" i="1"/>
  <c r="CD13" i="1"/>
  <c r="CE13" i="1"/>
  <c r="CP13" i="1" s="1"/>
  <c r="CF13" i="1"/>
  <c r="CD14" i="1"/>
  <c r="CE14" i="1"/>
  <c r="CF14" i="1"/>
  <c r="CD15" i="1"/>
  <c r="CE15" i="1"/>
  <c r="CF15" i="1"/>
  <c r="CD16" i="1"/>
  <c r="CE16" i="1"/>
  <c r="CF16" i="1"/>
  <c r="CD17" i="1"/>
  <c r="CE17" i="1"/>
  <c r="CP17" i="1" s="1"/>
  <c r="CF17" i="1"/>
  <c r="CD18" i="1"/>
  <c r="CE18" i="1"/>
  <c r="CF18" i="1"/>
  <c r="CD19" i="1"/>
  <c r="CE19" i="1"/>
  <c r="CF19" i="1"/>
  <c r="CD20" i="1"/>
  <c r="CE20" i="1"/>
  <c r="CF20" i="1"/>
  <c r="CD21" i="1"/>
  <c r="CE21" i="1"/>
  <c r="CP21" i="1" s="1"/>
  <c r="CF21" i="1"/>
  <c r="CD22" i="1"/>
  <c r="CE22" i="1"/>
  <c r="CF22" i="1"/>
  <c r="CD23" i="1"/>
  <c r="CE23" i="1"/>
  <c r="CF23" i="1"/>
  <c r="CD24" i="1"/>
  <c r="CE24" i="1"/>
  <c r="CF24" i="1"/>
  <c r="CD25" i="1"/>
  <c r="CE25" i="1"/>
  <c r="CP25" i="1" s="1"/>
  <c r="CF25" i="1"/>
  <c r="CD26" i="1"/>
  <c r="CE26" i="1"/>
  <c r="CF26" i="1"/>
  <c r="CD27" i="1"/>
  <c r="CE27" i="1"/>
  <c r="CF27" i="1"/>
  <c r="CD28" i="1"/>
  <c r="CE28" i="1"/>
  <c r="CF28" i="1"/>
  <c r="CD29" i="1"/>
  <c r="CE29" i="1"/>
  <c r="CP29" i="1" s="1"/>
  <c r="CF29" i="1"/>
  <c r="CD30" i="1"/>
  <c r="CE30" i="1"/>
  <c r="CF30" i="1"/>
  <c r="CD31" i="1"/>
  <c r="CE31" i="1"/>
  <c r="CF31" i="1"/>
  <c r="CD32" i="1"/>
  <c r="CE32" i="1"/>
  <c r="CF32" i="1"/>
  <c r="CD33" i="1"/>
  <c r="CE33" i="1"/>
  <c r="CP33" i="1" s="1"/>
  <c r="CF33" i="1"/>
  <c r="CD34" i="1"/>
  <c r="CE34" i="1"/>
  <c r="CF34" i="1"/>
  <c r="CD35" i="1"/>
  <c r="CE35" i="1"/>
  <c r="CF35" i="1"/>
  <c r="CD36" i="1"/>
  <c r="CE36" i="1"/>
  <c r="CF36" i="1"/>
  <c r="CD37" i="1"/>
  <c r="CE37" i="1"/>
  <c r="CP37" i="1" s="1"/>
  <c r="CF37" i="1"/>
  <c r="CD38" i="1"/>
  <c r="CE38" i="1"/>
  <c r="CF38" i="1"/>
  <c r="CD39" i="1"/>
  <c r="CE39" i="1"/>
  <c r="CF39" i="1"/>
  <c r="CD40" i="1"/>
  <c r="CE40" i="1"/>
  <c r="CF40" i="1"/>
  <c r="CD41" i="1"/>
  <c r="CE41" i="1"/>
  <c r="CP41" i="1" s="1"/>
  <c r="CF41" i="1"/>
  <c r="CD42" i="1"/>
  <c r="CE42" i="1"/>
  <c r="CF42" i="1"/>
  <c r="CD43" i="1"/>
  <c r="CE43" i="1"/>
  <c r="CF43" i="1"/>
  <c r="CD44" i="1"/>
  <c r="CE44" i="1"/>
  <c r="CF44" i="1"/>
  <c r="CD45" i="1"/>
  <c r="CE45" i="1"/>
  <c r="CP45" i="1" s="1"/>
  <c r="CF45" i="1"/>
  <c r="CD46" i="1"/>
  <c r="CE46" i="1"/>
  <c r="CF46" i="1"/>
  <c r="CD47" i="1"/>
  <c r="CE47" i="1"/>
  <c r="CF47" i="1"/>
  <c r="CD48" i="1"/>
  <c r="CE48" i="1"/>
  <c r="CF48" i="1"/>
  <c r="CD49" i="1"/>
  <c r="CE49" i="1"/>
  <c r="CP49" i="1" s="1"/>
  <c r="CF49" i="1"/>
  <c r="CD50" i="1"/>
  <c r="CE50" i="1"/>
  <c r="CF50" i="1"/>
  <c r="CD51" i="1"/>
  <c r="CE51" i="1"/>
  <c r="CF51" i="1"/>
  <c r="CD52" i="1"/>
  <c r="CE52" i="1"/>
  <c r="CF52" i="1"/>
  <c r="CD53" i="1"/>
  <c r="CE53" i="1"/>
  <c r="CP53" i="1" s="1"/>
  <c r="CF53" i="1"/>
  <c r="CD54" i="1"/>
  <c r="CE54" i="1"/>
  <c r="CF54" i="1"/>
  <c r="CD55" i="1"/>
  <c r="CE55" i="1"/>
  <c r="CF55" i="1"/>
  <c r="CD56" i="1"/>
  <c r="CE56" i="1"/>
  <c r="CF56" i="1"/>
  <c r="CD57" i="1"/>
  <c r="CE57" i="1"/>
  <c r="CP57" i="1" s="1"/>
  <c r="CF57" i="1"/>
  <c r="CD58" i="1"/>
  <c r="CE58" i="1"/>
  <c r="CF58" i="1"/>
  <c r="CD59" i="1"/>
  <c r="CE59" i="1"/>
  <c r="CF59" i="1"/>
  <c r="CD60" i="1"/>
  <c r="CE60" i="1"/>
  <c r="CF60" i="1"/>
  <c r="CD61" i="1"/>
  <c r="CE61" i="1"/>
  <c r="CP61" i="1" s="1"/>
  <c r="CF61" i="1"/>
  <c r="CD62" i="1"/>
  <c r="CE62" i="1"/>
  <c r="CF62" i="1"/>
  <c r="CD63" i="1"/>
  <c r="CE63" i="1"/>
  <c r="CF63" i="1"/>
  <c r="CD64" i="1"/>
  <c r="CE64" i="1"/>
  <c r="CF64" i="1"/>
  <c r="CD65" i="1"/>
  <c r="CE65" i="1"/>
  <c r="CP65" i="1" s="1"/>
  <c r="CF65" i="1"/>
  <c r="CD66" i="1"/>
  <c r="CE66" i="1"/>
  <c r="CF66" i="1"/>
  <c r="CD67" i="1"/>
  <c r="CE67" i="1"/>
  <c r="CF67" i="1"/>
  <c r="CD68" i="1"/>
  <c r="CE68" i="1"/>
  <c r="CF68" i="1"/>
  <c r="CD69" i="1"/>
  <c r="CE69" i="1"/>
  <c r="CP69" i="1" s="1"/>
  <c r="CF69" i="1"/>
  <c r="CD70" i="1"/>
  <c r="CE70" i="1"/>
  <c r="CF70" i="1"/>
  <c r="CD71" i="1"/>
  <c r="CE71" i="1"/>
  <c r="CF71" i="1"/>
  <c r="CD72" i="1"/>
  <c r="CE72" i="1"/>
  <c r="CF72" i="1"/>
  <c r="CD73" i="1"/>
  <c r="CE73" i="1"/>
  <c r="CP73" i="1" s="1"/>
  <c r="CF73" i="1"/>
  <c r="CD74" i="1"/>
  <c r="CE74" i="1"/>
  <c r="CF74" i="1"/>
  <c r="CD75" i="1"/>
  <c r="CE75" i="1"/>
  <c r="CF75" i="1"/>
  <c r="CD76" i="1"/>
  <c r="CE76" i="1"/>
  <c r="CF76" i="1"/>
  <c r="CD77" i="1"/>
  <c r="CE77" i="1"/>
  <c r="CP77" i="1" s="1"/>
  <c r="CF77" i="1"/>
  <c r="CD78" i="1"/>
  <c r="CE78" i="1"/>
  <c r="CF78" i="1"/>
  <c r="CD79" i="1"/>
  <c r="CE79" i="1"/>
  <c r="CF79" i="1"/>
  <c r="CD80" i="1"/>
  <c r="CE80" i="1"/>
  <c r="CF80" i="1"/>
  <c r="CD81" i="1"/>
  <c r="CE81" i="1"/>
  <c r="CP81" i="1" s="1"/>
  <c r="CF81" i="1"/>
  <c r="CD82" i="1"/>
  <c r="CE82" i="1"/>
  <c r="CF82" i="1"/>
  <c r="CD83" i="1"/>
  <c r="CE83" i="1"/>
  <c r="CF83" i="1"/>
  <c r="CD84" i="1"/>
  <c r="CE84" i="1"/>
  <c r="CF84" i="1"/>
  <c r="CD85" i="1"/>
  <c r="CE85" i="1"/>
  <c r="CP85" i="1" s="1"/>
  <c r="CF85" i="1"/>
  <c r="CD86" i="1"/>
  <c r="CE86" i="1"/>
  <c r="CF86" i="1"/>
  <c r="CD87" i="1"/>
  <c r="CE87" i="1"/>
  <c r="CF87" i="1"/>
  <c r="CD88" i="1"/>
  <c r="CE88" i="1"/>
  <c r="CF88" i="1"/>
  <c r="CD89" i="1"/>
  <c r="CE89" i="1"/>
  <c r="CP89" i="1" s="1"/>
  <c r="CF89" i="1"/>
  <c r="CD90" i="1"/>
  <c r="CE90" i="1"/>
  <c r="CF90" i="1"/>
  <c r="CD91" i="1"/>
  <c r="CE91" i="1"/>
  <c r="CF91" i="1"/>
  <c r="CD92" i="1"/>
  <c r="CE92" i="1"/>
  <c r="CF92" i="1"/>
  <c r="CD93" i="1"/>
  <c r="CE93" i="1"/>
  <c r="CP93" i="1" s="1"/>
  <c r="CF93" i="1"/>
  <c r="CD94" i="1"/>
  <c r="CE94" i="1"/>
  <c r="CF94" i="1"/>
  <c r="CD95" i="1"/>
  <c r="CE95" i="1"/>
  <c r="CF95" i="1"/>
  <c r="CD96" i="1"/>
  <c r="CE96" i="1"/>
  <c r="CF96" i="1"/>
  <c r="CD97" i="1"/>
  <c r="CE97" i="1"/>
  <c r="CP97" i="1" s="1"/>
  <c r="CF97" i="1"/>
  <c r="CD98" i="1"/>
  <c r="CE98" i="1"/>
  <c r="CF98" i="1"/>
  <c r="CD99" i="1"/>
  <c r="CE99" i="1"/>
  <c r="CF99" i="1"/>
  <c r="CD100" i="1"/>
  <c r="CE100" i="1"/>
  <c r="CF100" i="1"/>
  <c r="CD101" i="1"/>
  <c r="CE101" i="1"/>
  <c r="CP101" i="1" s="1"/>
  <c r="CF101" i="1"/>
  <c r="CD102" i="1"/>
  <c r="CE102" i="1"/>
  <c r="CF102" i="1"/>
  <c r="CD103" i="1"/>
  <c r="CE103" i="1"/>
  <c r="CF103" i="1"/>
  <c r="CD104" i="1"/>
  <c r="CE104" i="1"/>
  <c r="CF104" i="1"/>
  <c r="CD105" i="1"/>
  <c r="CE105" i="1"/>
  <c r="CP105" i="1" s="1"/>
  <c r="CF105" i="1"/>
  <c r="CD106" i="1"/>
  <c r="CE106" i="1"/>
  <c r="CF106" i="1"/>
  <c r="CD107" i="1"/>
  <c r="CE107" i="1"/>
  <c r="CF107" i="1"/>
  <c r="CD108" i="1"/>
  <c r="CE108" i="1"/>
  <c r="CF108" i="1"/>
  <c r="CD109" i="1"/>
  <c r="CE109" i="1"/>
  <c r="CP109" i="1" s="1"/>
  <c r="CF109" i="1"/>
  <c r="CD110" i="1"/>
  <c r="CE110" i="1"/>
  <c r="CF110" i="1"/>
  <c r="CD111" i="1"/>
  <c r="CE111" i="1"/>
  <c r="CF111" i="1"/>
  <c r="CD112" i="1"/>
  <c r="CE112" i="1"/>
  <c r="CF112" i="1"/>
  <c r="CD113" i="1"/>
  <c r="CE113" i="1"/>
  <c r="CP113" i="1" s="1"/>
  <c r="CF113" i="1"/>
  <c r="CD114" i="1"/>
  <c r="CE114" i="1"/>
  <c r="CF114" i="1"/>
  <c r="CD115" i="1"/>
  <c r="CE115" i="1"/>
  <c r="CF115" i="1"/>
  <c r="CD116" i="1"/>
  <c r="CE116" i="1"/>
  <c r="CF116" i="1"/>
  <c r="CD117" i="1"/>
  <c r="CE117" i="1"/>
  <c r="CP117" i="1" s="1"/>
  <c r="CF117" i="1"/>
  <c r="CD118" i="1"/>
  <c r="CE118" i="1"/>
  <c r="CF118" i="1"/>
  <c r="CD119" i="1"/>
  <c r="CE119" i="1"/>
  <c r="CF119" i="1"/>
  <c r="CD120" i="1"/>
  <c r="CE120" i="1"/>
  <c r="CF120" i="1"/>
  <c r="CD121" i="1"/>
  <c r="CE121" i="1"/>
  <c r="CP121" i="1" s="1"/>
  <c r="CF121" i="1"/>
  <c r="CD122" i="1"/>
  <c r="CE122" i="1"/>
  <c r="CF122" i="1"/>
  <c r="CD123" i="1"/>
  <c r="CE123" i="1"/>
  <c r="CF123" i="1"/>
  <c r="CD124" i="1"/>
  <c r="CE124" i="1"/>
  <c r="CF124" i="1"/>
  <c r="CD125" i="1"/>
  <c r="CE125" i="1"/>
  <c r="CP125" i="1" s="1"/>
  <c r="CF125" i="1"/>
  <c r="CD126" i="1"/>
  <c r="CE126" i="1"/>
  <c r="CF126" i="1"/>
  <c r="CD127" i="1"/>
  <c r="CE127" i="1"/>
  <c r="CF127" i="1"/>
  <c r="CD128" i="1"/>
  <c r="CE128" i="1"/>
  <c r="CF128" i="1"/>
  <c r="CD129" i="1"/>
  <c r="CE129" i="1"/>
  <c r="CP129" i="1" s="1"/>
  <c r="CF129" i="1"/>
  <c r="CD130" i="1"/>
  <c r="CE130" i="1"/>
  <c r="CF130" i="1"/>
  <c r="CD131" i="1"/>
  <c r="CE131" i="1"/>
  <c r="CF131" i="1"/>
  <c r="CD132" i="1"/>
  <c r="CE132" i="1"/>
  <c r="CF132" i="1"/>
  <c r="CD133" i="1"/>
  <c r="CE133" i="1"/>
  <c r="CP133" i="1" s="1"/>
  <c r="CF133" i="1"/>
  <c r="CD134" i="1"/>
  <c r="CE134" i="1"/>
  <c r="CF134" i="1"/>
  <c r="CD135" i="1"/>
  <c r="CE135" i="1"/>
  <c r="CF135" i="1"/>
  <c r="CD136" i="1"/>
  <c r="CE136" i="1"/>
  <c r="CF136" i="1"/>
  <c r="CD137" i="1"/>
  <c r="CE137" i="1"/>
  <c r="CP137" i="1" s="1"/>
  <c r="CF137" i="1"/>
  <c r="CD138" i="1"/>
  <c r="CE138" i="1"/>
  <c r="CF138" i="1"/>
  <c r="CD139" i="1"/>
  <c r="CE139" i="1"/>
  <c r="CF139" i="1"/>
  <c r="CD140" i="1"/>
  <c r="CE140" i="1"/>
  <c r="CF140" i="1"/>
  <c r="CD141" i="1"/>
  <c r="CE141" i="1"/>
  <c r="CP141" i="1" s="1"/>
  <c r="CF141" i="1"/>
  <c r="CD142" i="1"/>
  <c r="CE142" i="1"/>
  <c r="CF142" i="1"/>
  <c r="CD143" i="1"/>
  <c r="CE143" i="1"/>
  <c r="CF143" i="1"/>
  <c r="CD144" i="1"/>
  <c r="CE144" i="1"/>
  <c r="CF144" i="1"/>
  <c r="CD145" i="1"/>
  <c r="CE145" i="1"/>
  <c r="CP145" i="1" s="1"/>
  <c r="CF145" i="1"/>
  <c r="CD146" i="1"/>
  <c r="CE146" i="1"/>
  <c r="CF146" i="1"/>
  <c r="CD147" i="1"/>
  <c r="CE147" i="1"/>
  <c r="CF147" i="1"/>
  <c r="CD148" i="1"/>
  <c r="CE148" i="1"/>
  <c r="CF148" i="1"/>
  <c r="CD149" i="1"/>
  <c r="CE149" i="1"/>
  <c r="CP149" i="1" s="1"/>
  <c r="CF149" i="1"/>
  <c r="CD150" i="1"/>
  <c r="CE150" i="1"/>
  <c r="CF150" i="1"/>
  <c r="CD151" i="1"/>
  <c r="CE151" i="1"/>
  <c r="CF151" i="1"/>
  <c r="CD152" i="1"/>
  <c r="CE152" i="1"/>
  <c r="CF152" i="1"/>
  <c r="CD153" i="1"/>
  <c r="CE153" i="1"/>
  <c r="CP153" i="1" s="1"/>
  <c r="CF153" i="1"/>
  <c r="CD154" i="1"/>
  <c r="CE154" i="1"/>
  <c r="CF154" i="1"/>
  <c r="CD155" i="1"/>
  <c r="CE155" i="1"/>
  <c r="CF155" i="1"/>
  <c r="CD156" i="1"/>
  <c r="CE156" i="1"/>
  <c r="CF156" i="1"/>
  <c r="CD157" i="1"/>
  <c r="CE157" i="1"/>
  <c r="CP157" i="1" s="1"/>
  <c r="CF157" i="1"/>
  <c r="CD158" i="1"/>
  <c r="CE158" i="1"/>
  <c r="CF158" i="1"/>
  <c r="CD159" i="1"/>
  <c r="CE159" i="1"/>
  <c r="CF159" i="1"/>
  <c r="CD160" i="1"/>
  <c r="CE160" i="1"/>
  <c r="CF160" i="1"/>
  <c r="CD161" i="1"/>
  <c r="CE161" i="1"/>
  <c r="CP161" i="1" s="1"/>
  <c r="CF161" i="1"/>
  <c r="CD162" i="1"/>
  <c r="CE162" i="1"/>
  <c r="CF162" i="1"/>
  <c r="CD163" i="1"/>
  <c r="CE163" i="1"/>
  <c r="CF163" i="1"/>
  <c r="CD164" i="1"/>
  <c r="CE164" i="1"/>
  <c r="CF164" i="1"/>
  <c r="CD165" i="1"/>
  <c r="CE165" i="1"/>
  <c r="CP165" i="1" s="1"/>
  <c r="CF165" i="1"/>
  <c r="CD166" i="1"/>
  <c r="CE166" i="1"/>
  <c r="CF166" i="1"/>
  <c r="CD167" i="1"/>
  <c r="CE167" i="1"/>
  <c r="CF167" i="1"/>
  <c r="CD168" i="1"/>
  <c r="CE168" i="1"/>
  <c r="CF168" i="1"/>
  <c r="CD169" i="1"/>
  <c r="CE169" i="1"/>
  <c r="CP169" i="1" s="1"/>
  <c r="CF169" i="1"/>
  <c r="CD170" i="1"/>
  <c r="CE170" i="1"/>
  <c r="CF170" i="1"/>
  <c r="CD171" i="1"/>
  <c r="CE171" i="1"/>
  <c r="CF171" i="1"/>
  <c r="CD172" i="1"/>
  <c r="CE172" i="1"/>
  <c r="CF172" i="1"/>
  <c r="CD173" i="1"/>
  <c r="CE173" i="1"/>
  <c r="CP173" i="1" s="1"/>
  <c r="CF173" i="1"/>
  <c r="CD174" i="1"/>
  <c r="CE174" i="1"/>
  <c r="CF174" i="1"/>
  <c r="CD175" i="1"/>
  <c r="CE175" i="1"/>
  <c r="CF175" i="1"/>
  <c r="CD176" i="1"/>
  <c r="CE176" i="1"/>
  <c r="CF176" i="1"/>
  <c r="CD177" i="1"/>
  <c r="CE177" i="1"/>
  <c r="CP177" i="1" s="1"/>
  <c r="CF177" i="1"/>
  <c r="CD178" i="1"/>
  <c r="CE178" i="1"/>
  <c r="CF178" i="1"/>
  <c r="CD179" i="1"/>
  <c r="CE179" i="1"/>
  <c r="CF179" i="1"/>
  <c r="CD180" i="1"/>
  <c r="CE180" i="1"/>
  <c r="CF180" i="1"/>
  <c r="CD181" i="1"/>
  <c r="CE181" i="1"/>
  <c r="CP181" i="1" s="1"/>
  <c r="CF181" i="1"/>
  <c r="CD182" i="1"/>
  <c r="CE182" i="1"/>
  <c r="CF182" i="1"/>
  <c r="CD183" i="1"/>
  <c r="CE183" i="1"/>
  <c r="CF183" i="1"/>
  <c r="CD184" i="1"/>
  <c r="CE184" i="1"/>
  <c r="CF184" i="1"/>
  <c r="CD185" i="1"/>
  <c r="CE185" i="1"/>
  <c r="CP185" i="1" s="1"/>
  <c r="CF185" i="1"/>
  <c r="CD186" i="1"/>
  <c r="CE186" i="1"/>
  <c r="CF186" i="1"/>
  <c r="CD187" i="1"/>
  <c r="CE187" i="1"/>
  <c r="CF187" i="1"/>
  <c r="CD188" i="1"/>
  <c r="CE188" i="1"/>
  <c r="CF188" i="1"/>
  <c r="CD189" i="1"/>
  <c r="CE189" i="1"/>
  <c r="CP189" i="1" s="1"/>
  <c r="CF189" i="1"/>
  <c r="CD190" i="1"/>
  <c r="CE190" i="1"/>
  <c r="CF190" i="1"/>
  <c r="CD191" i="1"/>
  <c r="CE191" i="1"/>
  <c r="CF191" i="1"/>
  <c r="CD192" i="1"/>
  <c r="CE192" i="1"/>
  <c r="CF192" i="1"/>
  <c r="CD193" i="1"/>
  <c r="CE193" i="1"/>
  <c r="CP193" i="1" s="1"/>
  <c r="CF193" i="1"/>
  <c r="CD194" i="1"/>
  <c r="CE194" i="1"/>
  <c r="CF194" i="1"/>
  <c r="CD195" i="1"/>
  <c r="CE195" i="1"/>
  <c r="CF195" i="1"/>
  <c r="CD196" i="1"/>
  <c r="CE196" i="1"/>
  <c r="CF196" i="1"/>
  <c r="CD197" i="1"/>
  <c r="CE197" i="1"/>
  <c r="CP197" i="1" s="1"/>
  <c r="CF197" i="1"/>
  <c r="CD198" i="1"/>
  <c r="CE198" i="1"/>
  <c r="CF198" i="1"/>
  <c r="CD199" i="1"/>
  <c r="CE199" i="1"/>
  <c r="CF199" i="1"/>
  <c r="CD200" i="1"/>
  <c r="CE200" i="1"/>
  <c r="CF200" i="1"/>
  <c r="CD201" i="1"/>
  <c r="CE201" i="1"/>
  <c r="CP201" i="1" s="1"/>
  <c r="CF201" i="1"/>
  <c r="CD202" i="1"/>
  <c r="CE202" i="1"/>
  <c r="CF202" i="1"/>
  <c r="CD203" i="1"/>
  <c r="CE203" i="1"/>
  <c r="CF203" i="1"/>
  <c r="CD204" i="1"/>
  <c r="CE204" i="1"/>
  <c r="CF204" i="1"/>
  <c r="CD205" i="1"/>
  <c r="CE205" i="1"/>
  <c r="CP205" i="1" s="1"/>
  <c r="CF205" i="1"/>
  <c r="CD206" i="1"/>
  <c r="CE206" i="1"/>
  <c r="CF206" i="1"/>
  <c r="CD207" i="1"/>
  <c r="CE207" i="1"/>
  <c r="CF207" i="1"/>
  <c r="CD208" i="1"/>
  <c r="CE208" i="1"/>
  <c r="CF208" i="1"/>
  <c r="CD209" i="1"/>
  <c r="CE209" i="1"/>
  <c r="CP209" i="1" s="1"/>
  <c r="CF209" i="1"/>
  <c r="CD210" i="1"/>
  <c r="CE210" i="1"/>
  <c r="CF210" i="1"/>
  <c r="CD211" i="1"/>
  <c r="CE211" i="1"/>
  <c r="CF211" i="1"/>
  <c r="CD212" i="1"/>
  <c r="CE212" i="1"/>
  <c r="CF212" i="1"/>
  <c r="CD213" i="1"/>
  <c r="CE213" i="1"/>
  <c r="CP213" i="1" s="1"/>
  <c r="CF213" i="1"/>
  <c r="CD214" i="1"/>
  <c r="CE214" i="1"/>
  <c r="CF214" i="1"/>
  <c r="CD215" i="1"/>
  <c r="CE215" i="1"/>
  <c r="CF215" i="1"/>
  <c r="CD216" i="1"/>
  <c r="CE216" i="1"/>
  <c r="CF216" i="1"/>
  <c r="CD217" i="1"/>
  <c r="CE217" i="1"/>
  <c r="CP217" i="1" s="1"/>
  <c r="CF217" i="1"/>
  <c r="CD218" i="1"/>
  <c r="CE218" i="1"/>
  <c r="CF218" i="1"/>
  <c r="CD219" i="1"/>
  <c r="CE219" i="1"/>
  <c r="CF219" i="1"/>
  <c r="CD220" i="1"/>
  <c r="CE220" i="1"/>
  <c r="CF220" i="1"/>
  <c r="CD221" i="1"/>
  <c r="CE221" i="1"/>
  <c r="CP221" i="1" s="1"/>
  <c r="CF221" i="1"/>
  <c r="CD222" i="1"/>
  <c r="CE222" i="1"/>
  <c r="CF222" i="1"/>
  <c r="CD223" i="1"/>
  <c r="CE223" i="1"/>
  <c r="CF223" i="1"/>
  <c r="CD224" i="1"/>
  <c r="CE224" i="1"/>
  <c r="CF224" i="1"/>
  <c r="CD225" i="1"/>
  <c r="CE225" i="1"/>
  <c r="CP225" i="1" s="1"/>
  <c r="CF225" i="1"/>
  <c r="CD226" i="1"/>
  <c r="CE226" i="1"/>
  <c r="CF226" i="1"/>
  <c r="CD227" i="1"/>
  <c r="CE227" i="1"/>
  <c r="CF227" i="1"/>
  <c r="CD228" i="1"/>
  <c r="CE228" i="1"/>
  <c r="CF228" i="1"/>
  <c r="CD229" i="1"/>
  <c r="CE229" i="1"/>
  <c r="CP229" i="1" s="1"/>
  <c r="CF229" i="1"/>
  <c r="CD230" i="1"/>
  <c r="CE230" i="1"/>
  <c r="CF230" i="1"/>
  <c r="CD231" i="1"/>
  <c r="CE231" i="1"/>
  <c r="CF231" i="1"/>
  <c r="CD232" i="1"/>
  <c r="CE232" i="1"/>
  <c r="CF232" i="1"/>
  <c r="CD233" i="1"/>
  <c r="CE233" i="1"/>
  <c r="CP233" i="1" s="1"/>
  <c r="CF233" i="1"/>
  <c r="CD234" i="1"/>
  <c r="CE234" i="1"/>
  <c r="CF234" i="1"/>
  <c r="CD235" i="1"/>
  <c r="CE235" i="1"/>
  <c r="CF235" i="1"/>
  <c r="CD236" i="1"/>
  <c r="CE236" i="1"/>
  <c r="CF236" i="1"/>
  <c r="CD237" i="1"/>
  <c r="CE237" i="1"/>
  <c r="CP237" i="1" s="1"/>
  <c r="CF237" i="1"/>
  <c r="CD238" i="1"/>
  <c r="CE238" i="1"/>
  <c r="CF238" i="1"/>
  <c r="CD239" i="1"/>
  <c r="CE239" i="1"/>
  <c r="CF239" i="1"/>
  <c r="CD240" i="1"/>
  <c r="CE240" i="1"/>
  <c r="CF240" i="1"/>
  <c r="CD241" i="1"/>
  <c r="CE241" i="1"/>
  <c r="CP241" i="1" s="1"/>
  <c r="CF241" i="1"/>
  <c r="CD242" i="1"/>
  <c r="CE242" i="1"/>
  <c r="CF242" i="1"/>
  <c r="CD243" i="1"/>
  <c r="CE243" i="1"/>
  <c r="CF243" i="1"/>
  <c r="CD244" i="1"/>
  <c r="CE244" i="1"/>
  <c r="CF244" i="1"/>
  <c r="CD245" i="1"/>
  <c r="CE245" i="1"/>
  <c r="CP245" i="1" s="1"/>
  <c r="CF245" i="1"/>
  <c r="CD246" i="1"/>
  <c r="CE246" i="1"/>
  <c r="CF246" i="1"/>
  <c r="CD247" i="1"/>
  <c r="CE247" i="1"/>
  <c r="CF247" i="1"/>
  <c r="CD248" i="1"/>
  <c r="CE248" i="1"/>
  <c r="CF248" i="1"/>
  <c r="CD249" i="1"/>
  <c r="CE249" i="1"/>
  <c r="CP249" i="1" s="1"/>
  <c r="CF249" i="1"/>
  <c r="CD250" i="1"/>
  <c r="CE250" i="1"/>
  <c r="CF250" i="1"/>
  <c r="CD251" i="1"/>
  <c r="CE251" i="1"/>
  <c r="CF251" i="1"/>
  <c r="CD252" i="1"/>
  <c r="CE252" i="1"/>
  <c r="CF252" i="1"/>
  <c r="CD253" i="1"/>
  <c r="CE253" i="1"/>
  <c r="CP253" i="1" s="1"/>
  <c r="CF253" i="1"/>
  <c r="CD254" i="1"/>
  <c r="CE254" i="1"/>
  <c r="CF254" i="1"/>
  <c r="CD255" i="1"/>
  <c r="CE255" i="1"/>
  <c r="CF255" i="1"/>
  <c r="CD256" i="1"/>
  <c r="CE256" i="1"/>
  <c r="CF256" i="1"/>
  <c r="CD257" i="1"/>
  <c r="CE257" i="1"/>
  <c r="CP257" i="1" s="1"/>
  <c r="CF257" i="1"/>
  <c r="CD258" i="1"/>
  <c r="CE258" i="1"/>
  <c r="CF258" i="1"/>
  <c r="CD259" i="1"/>
  <c r="CE259" i="1"/>
  <c r="CF259" i="1"/>
  <c r="CD260" i="1"/>
  <c r="CE260" i="1"/>
  <c r="CF260" i="1"/>
  <c r="CD261" i="1"/>
  <c r="CE261" i="1"/>
  <c r="CP261" i="1" s="1"/>
  <c r="CF261" i="1"/>
  <c r="CD262" i="1"/>
  <c r="CE262" i="1"/>
  <c r="CF262" i="1"/>
  <c r="CD263" i="1"/>
  <c r="CE263" i="1"/>
  <c r="CF263" i="1"/>
  <c r="CD264" i="1"/>
  <c r="CE264" i="1"/>
  <c r="CF264" i="1"/>
  <c r="CD265" i="1"/>
  <c r="CE265" i="1"/>
  <c r="CP265" i="1" s="1"/>
  <c r="CF265" i="1"/>
  <c r="CD266" i="1"/>
  <c r="CE266" i="1"/>
  <c r="CF266" i="1"/>
  <c r="CD267" i="1"/>
  <c r="CE267" i="1"/>
  <c r="CF267" i="1"/>
  <c r="CD268" i="1"/>
  <c r="CE268" i="1"/>
  <c r="CF268" i="1"/>
  <c r="CD269" i="1"/>
  <c r="CE269" i="1"/>
  <c r="CP269" i="1" s="1"/>
  <c r="CF269" i="1"/>
  <c r="CD270" i="1"/>
  <c r="CE270" i="1"/>
  <c r="CF270" i="1"/>
  <c r="CD271" i="1"/>
  <c r="CE271" i="1"/>
  <c r="CF271" i="1"/>
  <c r="CF6" i="1"/>
  <c r="CE6" i="1"/>
  <c r="CD6" i="1"/>
  <c r="CB113" i="1"/>
  <c r="E109" i="9"/>
  <c r="BU66" i="1" a="1"/>
  <c r="BU66" i="1" s="1"/>
  <c r="BU90" i="1" a="1"/>
  <c r="BU90" i="1" s="1"/>
  <c r="BU132" i="1" a="1"/>
  <c r="BU132" i="1" s="1"/>
  <c r="BU180" i="1" a="1"/>
  <c r="BU180" i="1" s="1"/>
  <c r="BU191" i="1" a="1"/>
  <c r="BU191" i="1" s="1"/>
  <c r="BO132" i="1" a="1"/>
  <c r="BO132" i="1" s="1"/>
  <c r="CB132" i="1" s="1"/>
  <c r="BU2" i="1" a="1"/>
  <c r="BU2" i="1" s="1"/>
  <c r="BU4" i="1" a="1"/>
  <c r="BU4" i="1" s="1"/>
  <c r="BH2" i="1"/>
  <c r="BI2" i="1"/>
  <c r="BG2" i="1"/>
  <c r="BO1" i="1" a="1"/>
  <c r="BO1" i="1" s="1"/>
  <c r="BO2" i="1" s="1"/>
  <c r="BI4" i="1"/>
  <c r="BH4" i="1"/>
  <c r="BG4" i="1"/>
  <c r="BO90" i="1" a="1"/>
  <c r="BO90" i="1" s="1"/>
  <c r="CB90" i="1" s="1"/>
  <c r="BO124" i="1" a="1"/>
  <c r="BO124" i="1" s="1"/>
  <c r="CB124" i="1" s="1"/>
  <c r="BO180" i="1" a="1"/>
  <c r="BO180" i="1" s="1"/>
  <c r="CB180" i="1" s="1"/>
  <c r="BZ113" i="1"/>
  <c r="BO3" i="1" a="1"/>
  <c r="BO3" i="1" s="1"/>
  <c r="BQ67" i="1" a="1"/>
  <c r="BQ67" i="1" s="1"/>
  <c r="BQ68" i="1" a="1"/>
  <c r="BQ68" i="1" s="1"/>
  <c r="BQ69" i="1" a="1"/>
  <c r="BQ69" i="1" s="1"/>
  <c r="BQ70" i="1" a="1"/>
  <c r="BQ70" i="1" s="1"/>
  <c r="BQ71" i="1" a="1"/>
  <c r="BQ71" i="1" s="1"/>
  <c r="BQ72" i="1" a="1"/>
  <c r="BQ72" i="1" s="1"/>
  <c r="BQ73" i="1" a="1"/>
  <c r="BQ73" i="1" s="1"/>
  <c r="BQ74" i="1" a="1"/>
  <c r="BQ74" i="1" s="1"/>
  <c r="BQ75" i="1" a="1"/>
  <c r="BQ75" i="1" s="1"/>
  <c r="BQ76" i="1" a="1"/>
  <c r="BQ76" i="1" s="1"/>
  <c r="BQ77" i="1" a="1"/>
  <c r="BQ77" i="1" s="1"/>
  <c r="BQ78" i="1" a="1"/>
  <c r="BQ78" i="1" s="1"/>
  <c r="BQ79" i="1" a="1"/>
  <c r="BQ79" i="1" s="1"/>
  <c r="BQ80" i="1" a="1"/>
  <c r="BQ80" i="1" s="1"/>
  <c r="BQ81" i="1" a="1"/>
  <c r="BQ81" i="1" s="1"/>
  <c r="BQ82" i="1" a="1"/>
  <c r="BQ82" i="1" s="1"/>
  <c r="BQ83" i="1" a="1"/>
  <c r="BQ83" i="1" s="1"/>
  <c r="BQ84" i="1" a="1"/>
  <c r="BQ84" i="1" s="1"/>
  <c r="BQ85" i="1" a="1"/>
  <c r="BQ85" i="1" s="1"/>
  <c r="BQ86" i="1" a="1"/>
  <c r="BQ86" i="1" s="1"/>
  <c r="BQ87" i="1" a="1"/>
  <c r="BQ87" i="1" s="1"/>
  <c r="BQ88" i="1" a="1"/>
  <c r="BQ88" i="1" s="1"/>
  <c r="BQ89" i="1" a="1"/>
  <c r="BQ89" i="1" s="1"/>
  <c r="BQ90" i="1" a="1"/>
  <c r="BQ90" i="1" s="1"/>
  <c r="BQ91" i="1" a="1"/>
  <c r="BQ91" i="1" s="1"/>
  <c r="BQ92" i="1" a="1"/>
  <c r="BQ92" i="1" s="1"/>
  <c r="BQ93" i="1" a="1"/>
  <c r="BQ93" i="1" s="1"/>
  <c r="BQ94" i="1" a="1"/>
  <c r="BQ94" i="1" s="1"/>
  <c r="BQ95" i="1" a="1"/>
  <c r="BQ95" i="1" s="1"/>
  <c r="BQ96" i="1" a="1"/>
  <c r="BQ96" i="1" s="1"/>
  <c r="BQ97" i="1" a="1"/>
  <c r="BQ97" i="1" s="1"/>
  <c r="BQ98" i="1" a="1"/>
  <c r="BQ98" i="1" s="1"/>
  <c r="BQ99" i="1" a="1"/>
  <c r="BQ99" i="1" s="1"/>
  <c r="BQ100" i="1" a="1"/>
  <c r="BQ100" i="1" s="1"/>
  <c r="BQ101" i="1" a="1"/>
  <c r="BQ101" i="1" s="1"/>
  <c r="BQ102" i="1" a="1"/>
  <c r="BQ102" i="1" s="1"/>
  <c r="BQ103" i="1" a="1"/>
  <c r="BQ103" i="1" s="1"/>
  <c r="BQ104" i="1" a="1"/>
  <c r="BQ104" i="1" s="1"/>
  <c r="BQ105" i="1" a="1"/>
  <c r="BQ105" i="1" s="1"/>
  <c r="BQ106" i="1" a="1"/>
  <c r="BQ106" i="1" s="1"/>
  <c r="BQ107" i="1" a="1"/>
  <c r="BQ107" i="1" s="1"/>
  <c r="BQ108" i="1" a="1"/>
  <c r="BQ108" i="1" s="1"/>
  <c r="BQ109" i="1" a="1"/>
  <c r="BQ109" i="1" s="1"/>
  <c r="BQ110" i="1" a="1"/>
  <c r="BQ110" i="1" s="1"/>
  <c r="BQ111" i="1" a="1"/>
  <c r="BQ111" i="1" s="1"/>
  <c r="BQ112" i="1" a="1"/>
  <c r="BQ112" i="1" s="1"/>
  <c r="BQ113" i="1" a="1"/>
  <c r="BQ113" i="1" s="1"/>
  <c r="BQ114" i="1" a="1"/>
  <c r="BQ114" i="1" s="1"/>
  <c r="BQ115" i="1" a="1"/>
  <c r="BQ115" i="1" s="1"/>
  <c r="BQ116" i="1" a="1"/>
  <c r="BQ116" i="1" s="1"/>
  <c r="BQ117" i="1" a="1"/>
  <c r="BQ117" i="1" s="1"/>
  <c r="BQ118" i="1" a="1"/>
  <c r="BQ118" i="1" s="1"/>
  <c r="BQ119" i="1" a="1"/>
  <c r="BQ119" i="1" s="1"/>
  <c r="BQ120" i="1" a="1"/>
  <c r="BQ120" i="1" s="1"/>
  <c r="BQ121" i="1" a="1"/>
  <c r="BQ121" i="1" s="1"/>
  <c r="BQ122" i="1" a="1"/>
  <c r="BQ122" i="1" s="1"/>
  <c r="BQ123" i="1" a="1"/>
  <c r="BQ123" i="1" s="1"/>
  <c r="BQ124" i="1" a="1"/>
  <c r="BQ124" i="1" s="1"/>
  <c r="BQ125" i="1" a="1"/>
  <c r="BQ125" i="1" s="1"/>
  <c r="BQ126" i="1" a="1"/>
  <c r="BQ126" i="1" s="1"/>
  <c r="BQ127" i="1" a="1"/>
  <c r="BQ127" i="1" s="1"/>
  <c r="BQ128" i="1" a="1"/>
  <c r="BQ128" i="1" s="1"/>
  <c r="BQ129" i="1" a="1"/>
  <c r="BQ129" i="1" s="1"/>
  <c r="BQ130" i="1" a="1"/>
  <c r="BQ130" i="1" s="1"/>
  <c r="BQ131" i="1" a="1"/>
  <c r="BQ131" i="1" s="1"/>
  <c r="BQ132" i="1" a="1"/>
  <c r="BQ132" i="1" s="1"/>
  <c r="BQ133" i="1" a="1"/>
  <c r="BQ133" i="1" s="1"/>
  <c r="BQ134" i="1" a="1"/>
  <c r="BQ134" i="1" s="1"/>
  <c r="BQ135" i="1" a="1"/>
  <c r="BQ135" i="1" s="1"/>
  <c r="BQ136" i="1" a="1"/>
  <c r="BQ136" i="1" s="1"/>
  <c r="BQ137" i="1" a="1"/>
  <c r="BQ137" i="1" s="1"/>
  <c r="BQ138" i="1" a="1"/>
  <c r="BQ138" i="1" s="1"/>
  <c r="BQ139" i="1" a="1"/>
  <c r="BQ139" i="1" s="1"/>
  <c r="BQ140" i="1" a="1"/>
  <c r="BQ140" i="1" s="1"/>
  <c r="BQ141" i="1" a="1"/>
  <c r="BQ141" i="1" s="1"/>
  <c r="BQ142" i="1" a="1"/>
  <c r="BQ142" i="1" s="1"/>
  <c r="BQ143" i="1" a="1"/>
  <c r="BQ143" i="1" s="1"/>
  <c r="BQ144" i="1" a="1"/>
  <c r="BQ144" i="1" s="1"/>
  <c r="BQ145" i="1" a="1"/>
  <c r="BQ145" i="1" s="1"/>
  <c r="BQ146" i="1" a="1"/>
  <c r="BQ146" i="1" s="1"/>
  <c r="BQ147" i="1" a="1"/>
  <c r="BQ147" i="1" s="1"/>
  <c r="BQ148" i="1" a="1"/>
  <c r="BQ148" i="1" s="1"/>
  <c r="BQ149" i="1" a="1"/>
  <c r="BQ149" i="1" s="1"/>
  <c r="BQ150" i="1" a="1"/>
  <c r="BQ150" i="1" s="1"/>
  <c r="BQ151" i="1" a="1"/>
  <c r="BQ151" i="1" s="1"/>
  <c r="BQ152" i="1" a="1"/>
  <c r="BQ152" i="1" s="1"/>
  <c r="BQ153" i="1" a="1"/>
  <c r="BQ153" i="1" s="1"/>
  <c r="BQ154" i="1" a="1"/>
  <c r="BQ154" i="1" s="1"/>
  <c r="BQ155" i="1" a="1"/>
  <c r="BQ155" i="1" s="1"/>
  <c r="BQ156" i="1" a="1"/>
  <c r="BQ156" i="1" s="1"/>
  <c r="BQ157" i="1" a="1"/>
  <c r="BQ157" i="1" s="1"/>
  <c r="BQ158" i="1" a="1"/>
  <c r="BQ158" i="1" s="1"/>
  <c r="BQ159" i="1" a="1"/>
  <c r="BQ159" i="1" s="1"/>
  <c r="BQ160" i="1" a="1"/>
  <c r="BQ160" i="1" s="1"/>
  <c r="BQ161" i="1" a="1"/>
  <c r="BQ161" i="1" s="1"/>
  <c r="BQ162" i="1" a="1"/>
  <c r="BQ162" i="1" s="1"/>
  <c r="BQ163" i="1" a="1"/>
  <c r="BQ163" i="1" s="1"/>
  <c r="BQ164" i="1" a="1"/>
  <c r="BQ164" i="1" s="1"/>
  <c r="BQ165" i="1" a="1"/>
  <c r="BQ165" i="1" s="1"/>
  <c r="BQ166" i="1" a="1"/>
  <c r="BQ166" i="1" s="1"/>
  <c r="BQ167" i="1" a="1"/>
  <c r="BQ167" i="1" s="1"/>
  <c r="BQ168" i="1" a="1"/>
  <c r="BQ168" i="1" s="1"/>
  <c r="BQ169" i="1" a="1"/>
  <c r="BQ169" i="1" s="1"/>
  <c r="BQ170" i="1" a="1"/>
  <c r="BQ170" i="1" s="1"/>
  <c r="BQ171" i="1" a="1"/>
  <c r="BQ171" i="1" s="1"/>
  <c r="BQ172" i="1" a="1"/>
  <c r="BQ172" i="1" s="1"/>
  <c r="BQ173" i="1" a="1"/>
  <c r="BQ173" i="1" s="1"/>
  <c r="BQ174" i="1" a="1"/>
  <c r="BQ174" i="1" s="1"/>
  <c r="BQ175" i="1" a="1"/>
  <c r="BQ175" i="1" s="1"/>
  <c r="BQ176" i="1" a="1"/>
  <c r="BQ176" i="1" s="1"/>
  <c r="BQ177" i="1" a="1"/>
  <c r="BQ177" i="1" s="1"/>
  <c r="BQ178" i="1" a="1"/>
  <c r="BQ178" i="1" s="1"/>
  <c r="BQ179" i="1" a="1"/>
  <c r="BQ179" i="1" s="1"/>
  <c r="BQ180" i="1" a="1"/>
  <c r="BQ180" i="1" s="1"/>
  <c r="BQ181" i="1" a="1"/>
  <c r="BQ181" i="1" s="1"/>
  <c r="BQ182" i="1" a="1"/>
  <c r="BQ182" i="1" s="1"/>
  <c r="BQ183" i="1" a="1"/>
  <c r="BQ183" i="1" s="1"/>
  <c r="BQ184" i="1" a="1"/>
  <c r="BQ184" i="1" s="1"/>
  <c r="BQ185" i="1" a="1"/>
  <c r="BQ185" i="1" s="1"/>
  <c r="BQ186" i="1" a="1"/>
  <c r="BQ186" i="1" s="1"/>
  <c r="BQ187" i="1" a="1"/>
  <c r="BQ187" i="1" s="1"/>
  <c r="BQ188" i="1" a="1"/>
  <c r="BQ188" i="1" s="1"/>
  <c r="BQ189" i="1" a="1"/>
  <c r="BQ189" i="1" s="1"/>
  <c r="BQ190" i="1" a="1"/>
  <c r="BQ190" i="1" s="1"/>
  <c r="BQ191" i="1" a="1"/>
  <c r="BQ191" i="1" s="1"/>
  <c r="BQ192" i="1" a="1"/>
  <c r="BQ192" i="1" s="1"/>
  <c r="BQ193" i="1" a="1"/>
  <c r="BQ193" i="1" s="1"/>
  <c r="BQ194" i="1" a="1"/>
  <c r="BQ194" i="1" s="1"/>
  <c r="BQ195" i="1" a="1"/>
  <c r="BQ195" i="1" s="1"/>
  <c r="BQ196" i="1" a="1"/>
  <c r="BQ196" i="1" s="1"/>
  <c r="BQ197" i="1" a="1"/>
  <c r="BQ197" i="1" s="1"/>
  <c r="BQ198" i="1" a="1"/>
  <c r="BQ198" i="1" s="1"/>
  <c r="BQ199" i="1" a="1"/>
  <c r="BQ199" i="1" s="1"/>
  <c r="BQ200" i="1" a="1"/>
  <c r="BQ200" i="1" s="1"/>
  <c r="BQ201" i="1" a="1"/>
  <c r="BQ201" i="1" s="1"/>
  <c r="BQ202" i="1" a="1"/>
  <c r="BQ202" i="1" s="1"/>
  <c r="BQ203" i="1" a="1"/>
  <c r="BQ203" i="1" s="1"/>
  <c r="BQ204" i="1" a="1"/>
  <c r="BQ204" i="1" s="1"/>
  <c r="BQ205" i="1" a="1"/>
  <c r="BQ205" i="1" s="1"/>
  <c r="BQ206" i="1" a="1"/>
  <c r="BQ206" i="1" s="1"/>
  <c r="BQ207" i="1" a="1"/>
  <c r="BQ207" i="1" s="1"/>
  <c r="BQ208" i="1" a="1"/>
  <c r="BQ208" i="1" s="1"/>
  <c r="BQ209" i="1" a="1"/>
  <c r="BQ209" i="1" s="1"/>
  <c r="BQ210" i="1" a="1"/>
  <c r="BQ210" i="1" s="1"/>
  <c r="BQ211" i="1" a="1"/>
  <c r="BQ211" i="1" s="1"/>
  <c r="BQ212" i="1" a="1"/>
  <c r="BQ212" i="1" s="1"/>
  <c r="BQ213" i="1" a="1"/>
  <c r="BQ213" i="1" s="1"/>
  <c r="BQ214" i="1" a="1"/>
  <c r="BQ214" i="1" s="1"/>
  <c r="BQ215" i="1" a="1"/>
  <c r="BQ215" i="1" s="1"/>
  <c r="BQ216" i="1" a="1"/>
  <c r="BQ216" i="1" s="1"/>
  <c r="BQ217" i="1" a="1"/>
  <c r="BQ217" i="1" s="1"/>
  <c r="BQ218" i="1" a="1"/>
  <c r="BQ218" i="1" s="1"/>
  <c r="BQ219" i="1" a="1"/>
  <c r="BQ219" i="1" s="1"/>
  <c r="BQ220" i="1" a="1"/>
  <c r="BQ220" i="1" s="1"/>
  <c r="BQ221" i="1" a="1"/>
  <c r="BQ221" i="1" s="1"/>
  <c r="BQ222" i="1" a="1"/>
  <c r="BQ222" i="1" s="1"/>
  <c r="BQ223" i="1" a="1"/>
  <c r="BQ223" i="1" s="1"/>
  <c r="BQ224" i="1" a="1"/>
  <c r="BQ224" i="1" s="1"/>
  <c r="BQ225" i="1" a="1"/>
  <c r="BQ225" i="1" s="1"/>
  <c r="BQ226" i="1" a="1"/>
  <c r="BQ226" i="1" s="1"/>
  <c r="BQ227" i="1" a="1"/>
  <c r="BQ227" i="1" s="1"/>
  <c r="BQ228" i="1" a="1"/>
  <c r="BQ228" i="1" s="1"/>
  <c r="BQ229" i="1" a="1"/>
  <c r="BQ229" i="1" s="1"/>
  <c r="BQ230" i="1" a="1"/>
  <c r="BQ230" i="1" s="1"/>
  <c r="BQ231" i="1" a="1"/>
  <c r="BQ231" i="1" s="1"/>
  <c r="BQ232" i="1" a="1"/>
  <c r="BQ232" i="1" s="1"/>
  <c r="BQ233" i="1" a="1"/>
  <c r="BQ233" i="1" s="1"/>
  <c r="BQ234" i="1" a="1"/>
  <c r="BQ234" i="1" s="1"/>
  <c r="BQ235" i="1" a="1"/>
  <c r="BQ235" i="1" s="1"/>
  <c r="BQ236" i="1" a="1"/>
  <c r="BQ236" i="1" s="1"/>
  <c r="BQ237" i="1" a="1"/>
  <c r="BQ237" i="1" s="1"/>
  <c r="BQ238" i="1" a="1"/>
  <c r="BQ238" i="1" s="1"/>
  <c r="BQ239" i="1" a="1"/>
  <c r="BQ239" i="1" s="1"/>
  <c r="BQ240" i="1" a="1"/>
  <c r="BQ240" i="1" s="1"/>
  <c r="BQ241" i="1" a="1"/>
  <c r="BQ241" i="1" s="1"/>
  <c r="BQ242" i="1" a="1"/>
  <c r="BQ242" i="1" s="1"/>
  <c r="BQ243" i="1" a="1"/>
  <c r="BQ243" i="1" s="1"/>
  <c r="BQ244" i="1" a="1"/>
  <c r="BQ244" i="1" s="1"/>
  <c r="BQ245" i="1" a="1"/>
  <c r="BQ245" i="1" s="1"/>
  <c r="BQ246" i="1" a="1"/>
  <c r="BQ246" i="1" s="1"/>
  <c r="BQ247" i="1" a="1"/>
  <c r="BQ247" i="1" s="1"/>
  <c r="BQ248" i="1" a="1"/>
  <c r="BQ248" i="1" s="1"/>
  <c r="BQ249" i="1" a="1"/>
  <c r="BQ249" i="1" s="1"/>
  <c r="BQ250" i="1" a="1"/>
  <c r="BQ250" i="1" s="1"/>
  <c r="BQ251" i="1" a="1"/>
  <c r="BQ251" i="1" s="1"/>
  <c r="BQ252" i="1" a="1"/>
  <c r="BQ252" i="1" s="1"/>
  <c r="BQ253" i="1" a="1"/>
  <c r="BQ253" i="1" s="1"/>
  <c r="BQ254" i="1" a="1"/>
  <c r="BQ254" i="1" s="1"/>
  <c r="BQ255" i="1" a="1"/>
  <c r="BQ255" i="1" s="1"/>
  <c r="BQ256" i="1" a="1"/>
  <c r="BQ256" i="1" s="1"/>
  <c r="BQ257" i="1" a="1"/>
  <c r="BQ257" i="1" s="1"/>
  <c r="BQ258" i="1" a="1"/>
  <c r="BQ258" i="1" s="1"/>
  <c r="BQ259" i="1" a="1"/>
  <c r="BQ259" i="1" s="1"/>
  <c r="BQ260" i="1" a="1"/>
  <c r="BQ260" i="1" s="1"/>
  <c r="BQ261" i="1" a="1"/>
  <c r="BQ261" i="1" s="1"/>
  <c r="BQ262" i="1" a="1"/>
  <c r="BQ262" i="1" s="1"/>
  <c r="BQ263" i="1" a="1"/>
  <c r="BQ263" i="1" s="1"/>
  <c r="BQ264" i="1" a="1"/>
  <c r="BQ264" i="1" s="1"/>
  <c r="BQ265" i="1" a="1"/>
  <c r="BQ265" i="1" s="1"/>
  <c r="BQ266" i="1" a="1"/>
  <c r="BQ266" i="1" s="1"/>
  <c r="BQ267" i="1" a="1"/>
  <c r="BQ267" i="1" s="1"/>
  <c r="BQ268" i="1" a="1"/>
  <c r="BQ268" i="1" s="1"/>
  <c r="BQ269" i="1" a="1"/>
  <c r="BQ269" i="1" s="1"/>
  <c r="BQ270" i="1" a="1"/>
  <c r="BQ270" i="1" s="1"/>
  <c r="BQ271" i="1" a="1"/>
  <c r="BQ271" i="1" s="1"/>
  <c r="BQ6" i="1" a="1"/>
  <c r="BQ6" i="1" s="1"/>
  <c r="BQ7" i="1" a="1"/>
  <c r="BQ7" i="1" s="1"/>
  <c r="BQ8" i="1" a="1"/>
  <c r="BQ8" i="1" s="1"/>
  <c r="BQ9" i="1" a="1"/>
  <c r="BQ9" i="1" s="1"/>
  <c r="BQ10" i="1" a="1"/>
  <c r="BQ10" i="1" s="1"/>
  <c r="BQ11" i="1" a="1"/>
  <c r="BQ11" i="1" s="1"/>
  <c r="BQ12" i="1" a="1"/>
  <c r="BQ12" i="1" s="1"/>
  <c r="BQ13" i="1" a="1"/>
  <c r="BQ13" i="1" s="1"/>
  <c r="BQ14" i="1" a="1"/>
  <c r="BQ14" i="1" s="1"/>
  <c r="BQ15" i="1" a="1"/>
  <c r="BQ15" i="1" s="1"/>
  <c r="BQ16" i="1" a="1"/>
  <c r="BQ16" i="1" s="1"/>
  <c r="BQ17" i="1" a="1"/>
  <c r="BQ17" i="1" s="1"/>
  <c r="BQ18" i="1" a="1"/>
  <c r="BQ18" i="1" s="1"/>
  <c r="BQ19" i="1" a="1"/>
  <c r="BQ19" i="1" s="1"/>
  <c r="BQ20" i="1" a="1"/>
  <c r="BQ20" i="1" s="1"/>
  <c r="BQ21" i="1" a="1"/>
  <c r="BQ21" i="1" s="1"/>
  <c r="BQ22" i="1" a="1"/>
  <c r="BQ22" i="1" s="1"/>
  <c r="BQ23" i="1" a="1"/>
  <c r="BQ23" i="1" s="1"/>
  <c r="BQ24" i="1" a="1"/>
  <c r="BQ24" i="1" s="1"/>
  <c r="BQ25" i="1" a="1"/>
  <c r="BQ25" i="1" s="1"/>
  <c r="BQ26" i="1" a="1"/>
  <c r="BQ26" i="1" s="1"/>
  <c r="BQ27" i="1" a="1"/>
  <c r="BQ27" i="1" s="1"/>
  <c r="BQ28" i="1" a="1"/>
  <c r="BQ28" i="1" s="1"/>
  <c r="BQ29" i="1" a="1"/>
  <c r="BQ29" i="1" s="1"/>
  <c r="BQ30" i="1" a="1"/>
  <c r="BQ30" i="1" s="1"/>
  <c r="BQ31" i="1" a="1"/>
  <c r="BQ31" i="1" s="1"/>
  <c r="BQ32" i="1" a="1"/>
  <c r="BQ32" i="1" s="1"/>
  <c r="BQ33" i="1" a="1"/>
  <c r="BQ33" i="1" s="1"/>
  <c r="BQ34" i="1" a="1"/>
  <c r="BQ34" i="1" s="1"/>
  <c r="BQ35" i="1" a="1"/>
  <c r="BQ35" i="1" s="1"/>
  <c r="BQ36" i="1" a="1"/>
  <c r="BQ36" i="1" s="1"/>
  <c r="BQ37" i="1" a="1"/>
  <c r="BQ37" i="1" s="1"/>
  <c r="BQ38" i="1" a="1"/>
  <c r="BQ38" i="1" s="1"/>
  <c r="BQ39" i="1" a="1"/>
  <c r="BQ39" i="1" s="1"/>
  <c r="BQ40" i="1" a="1"/>
  <c r="BQ40" i="1" s="1"/>
  <c r="BQ41" i="1" a="1"/>
  <c r="BQ41" i="1" s="1"/>
  <c r="BQ42" i="1" a="1"/>
  <c r="BQ42" i="1" s="1"/>
  <c r="BQ43" i="1" a="1"/>
  <c r="BQ43" i="1" s="1"/>
  <c r="BQ44" i="1" a="1"/>
  <c r="BQ44" i="1" s="1"/>
  <c r="BQ45" i="1" a="1"/>
  <c r="BQ45" i="1" s="1"/>
  <c r="BQ46" i="1" a="1"/>
  <c r="BQ46" i="1" s="1"/>
  <c r="BQ47" i="1" a="1"/>
  <c r="BQ47" i="1" s="1"/>
  <c r="BQ48" i="1" a="1"/>
  <c r="BQ48" i="1" s="1"/>
  <c r="BQ49" i="1" a="1"/>
  <c r="BQ49" i="1" s="1"/>
  <c r="BQ50" i="1" a="1"/>
  <c r="BQ50" i="1" s="1"/>
  <c r="BQ51" i="1" a="1"/>
  <c r="BQ51" i="1" s="1"/>
  <c r="BQ52" i="1" a="1"/>
  <c r="BQ52" i="1" s="1"/>
  <c r="BQ53" i="1" a="1"/>
  <c r="BQ53" i="1" s="1"/>
  <c r="BQ54" i="1" a="1"/>
  <c r="BQ54" i="1" s="1"/>
  <c r="BQ55" i="1" a="1"/>
  <c r="BQ55" i="1" s="1"/>
  <c r="BQ56" i="1" a="1"/>
  <c r="BQ56" i="1" s="1"/>
  <c r="BQ57" i="1" a="1"/>
  <c r="BQ57" i="1" s="1"/>
  <c r="BQ58" i="1" a="1"/>
  <c r="BQ58" i="1" s="1"/>
  <c r="BQ59" i="1" a="1"/>
  <c r="BQ59" i="1" s="1"/>
  <c r="BQ60" i="1" a="1"/>
  <c r="BQ60" i="1" s="1"/>
  <c r="BQ61" i="1" a="1"/>
  <c r="BQ61" i="1" s="1"/>
  <c r="BQ62" i="1" a="1"/>
  <c r="BQ62" i="1" s="1"/>
  <c r="BQ63" i="1" a="1"/>
  <c r="BQ63" i="1" s="1"/>
  <c r="BQ64" i="1" a="1"/>
  <c r="BQ64" i="1" s="1"/>
  <c r="BQ65" i="1" a="1"/>
  <c r="BQ65" i="1" s="1"/>
  <c r="BQ66" i="1" a="1"/>
  <c r="BQ66" i="1" s="1"/>
  <c r="BO186" i="1" a="1"/>
  <c r="BO186" i="1" s="1"/>
  <c r="CB186" i="1" s="1"/>
  <c r="DN180" i="1" a="1"/>
  <c r="DN180" i="1" s="1"/>
  <c r="BO6" i="1" a="1"/>
  <c r="BO6" i="1" s="1"/>
  <c r="CB6"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BO70" i="1" a="1"/>
  <c r="BO70" i="1" s="1"/>
  <c r="CB70" i="1" s="1"/>
  <c r="BO209" i="1" a="1"/>
  <c r="BO209" i="1" s="1"/>
  <c r="CB209" i="1" s="1"/>
  <c r="BO155" i="1" a="1"/>
  <c r="BO155" i="1" s="1"/>
  <c r="CB155" i="1" s="1"/>
  <c r="ER90" i="1"/>
  <c r="EN6" i="1"/>
  <c r="ET6" i="1"/>
  <c r="EN7" i="1"/>
  <c r="EN8" i="1"/>
  <c r="EN9" i="1"/>
  <c r="EN10" i="1"/>
  <c r="EN11" i="1"/>
  <c r="EN12" i="1"/>
  <c r="EN13" i="1"/>
  <c r="EN14" i="1"/>
  <c r="EN15" i="1"/>
  <c r="EN16" i="1"/>
  <c r="EN17" i="1"/>
  <c r="EN18" i="1"/>
  <c r="EN90" i="1"/>
  <c r="EN20" i="1"/>
  <c r="EN21" i="1"/>
  <c r="EN22" i="1"/>
  <c r="EN23" i="1"/>
  <c r="EN24" i="1"/>
  <c r="EN25" i="1"/>
  <c r="EN26" i="1"/>
  <c r="EN27" i="1"/>
  <c r="EN28" i="1"/>
  <c r="EN29" i="1"/>
  <c r="EN30" i="1"/>
  <c r="EN31" i="1"/>
  <c r="EN32" i="1"/>
  <c r="EN33" i="1"/>
  <c r="EN34" i="1"/>
  <c r="EN35" i="1"/>
  <c r="EN36" i="1"/>
  <c r="EN37" i="1"/>
  <c r="EN38" i="1"/>
  <c r="EN39" i="1"/>
  <c r="EN40" i="1"/>
  <c r="EN41" i="1"/>
  <c r="EN42" i="1"/>
  <c r="EN43" i="1"/>
  <c r="EN44" i="1"/>
  <c r="EN45" i="1"/>
  <c r="EN46" i="1"/>
  <c r="EN47" i="1"/>
  <c r="EN48" i="1"/>
  <c r="EN49" i="1"/>
  <c r="EN50" i="1"/>
  <c r="EN51" i="1"/>
  <c r="EN52" i="1"/>
  <c r="EN53" i="1"/>
  <c r="EN54" i="1"/>
  <c r="EN55" i="1"/>
  <c r="EN56" i="1"/>
  <c r="EN57" i="1"/>
  <c r="EN58" i="1"/>
  <c r="EN59" i="1"/>
  <c r="EN60" i="1"/>
  <c r="EN61" i="1"/>
  <c r="EN62" i="1"/>
  <c r="EN63" i="1"/>
  <c r="EN64" i="1"/>
  <c r="EN65" i="1"/>
  <c r="EN66" i="1"/>
  <c r="EN121" i="1"/>
  <c r="EN68" i="1"/>
  <c r="EN69" i="1"/>
  <c r="EN155" i="1"/>
  <c r="EN71" i="1"/>
  <c r="EN72" i="1"/>
  <c r="EN73" i="1"/>
  <c r="EN74" i="1"/>
  <c r="EN75" i="1"/>
  <c r="EN76" i="1"/>
  <c r="EN77" i="1"/>
  <c r="EN78" i="1"/>
  <c r="EN79" i="1"/>
  <c r="EN80" i="1"/>
  <c r="EN81" i="1"/>
  <c r="EN82" i="1"/>
  <c r="EN83" i="1"/>
  <c r="EN84" i="1"/>
  <c r="EN85" i="1"/>
  <c r="EN86" i="1"/>
  <c r="EN87" i="1"/>
  <c r="EN88" i="1"/>
  <c r="EN114" i="1"/>
  <c r="EN186" i="1"/>
  <c r="EN91" i="1"/>
  <c r="EN92" i="1"/>
  <c r="EN93" i="1"/>
  <c r="EN94" i="1"/>
  <c r="EN95" i="1"/>
  <c r="EN96" i="1"/>
  <c r="EN97" i="1"/>
  <c r="EN98" i="1"/>
  <c r="EN99" i="1"/>
  <c r="EN100" i="1"/>
  <c r="EN101" i="1"/>
  <c r="EN102" i="1"/>
  <c r="EN103" i="1"/>
  <c r="EN104" i="1"/>
  <c r="EN105" i="1"/>
  <c r="EN106" i="1"/>
  <c r="EN107" i="1"/>
  <c r="EN108" i="1"/>
  <c r="EN109" i="1"/>
  <c r="EN110" i="1"/>
  <c r="EN111" i="1"/>
  <c r="EN112" i="1"/>
  <c r="EN113" i="1"/>
  <c r="EN153" i="1"/>
  <c r="EN115" i="1"/>
  <c r="EN116" i="1"/>
  <c r="EN117" i="1"/>
  <c r="EN118" i="1"/>
  <c r="EN119" i="1"/>
  <c r="EN67" i="1"/>
  <c r="EN70" i="1"/>
  <c r="EN122" i="1"/>
  <c r="EN123" i="1"/>
  <c r="EN124" i="1"/>
  <c r="EN125" i="1"/>
  <c r="EN126" i="1"/>
  <c r="EN127" i="1"/>
  <c r="EN128" i="1"/>
  <c r="EN129" i="1"/>
  <c r="EN130" i="1"/>
  <c r="EN131" i="1"/>
  <c r="EN132" i="1"/>
  <c r="EN133" i="1"/>
  <c r="EN134" i="1"/>
  <c r="EN135" i="1"/>
  <c r="EN136" i="1"/>
  <c r="EN137" i="1"/>
  <c r="EN138" i="1"/>
  <c r="EN139" i="1"/>
  <c r="EN140" i="1"/>
  <c r="EN141" i="1"/>
  <c r="EN142" i="1"/>
  <c r="EN143" i="1"/>
  <c r="EN144" i="1"/>
  <c r="EN145" i="1"/>
  <c r="EN146" i="1"/>
  <c r="EN147" i="1"/>
  <c r="EN148" i="1"/>
  <c r="EN149" i="1"/>
  <c r="EN150" i="1"/>
  <c r="EN151" i="1"/>
  <c r="EN152" i="1"/>
  <c r="EN120" i="1"/>
  <c r="EN154" i="1"/>
  <c r="EN89" i="1"/>
  <c r="EN156" i="1"/>
  <c r="EN157" i="1"/>
  <c r="EN158" i="1"/>
  <c r="EN159" i="1"/>
  <c r="EN160" i="1"/>
  <c r="EN161" i="1"/>
  <c r="EN162" i="1"/>
  <c r="EN163" i="1"/>
  <c r="EN164" i="1"/>
  <c r="EN165" i="1"/>
  <c r="EN166" i="1"/>
  <c r="EN167" i="1"/>
  <c r="EN168" i="1"/>
  <c r="EN169" i="1"/>
  <c r="EN170" i="1"/>
  <c r="EN171" i="1"/>
  <c r="EN172" i="1"/>
  <c r="EN173" i="1"/>
  <c r="EN174" i="1"/>
  <c r="EN175" i="1"/>
  <c r="EN176" i="1"/>
  <c r="EN177" i="1"/>
  <c r="EN178" i="1"/>
  <c r="EN179" i="1"/>
  <c r="EN180" i="1"/>
  <c r="EN181" i="1"/>
  <c r="EN182" i="1"/>
  <c r="EN183" i="1"/>
  <c r="EN184" i="1"/>
  <c r="EN185" i="1"/>
  <c r="EN19" i="1"/>
  <c r="EN187" i="1"/>
  <c r="EN188" i="1"/>
  <c r="EN189" i="1"/>
  <c r="EN190" i="1"/>
  <c r="EN191" i="1"/>
  <c r="EN192" i="1"/>
  <c r="EN193" i="1"/>
  <c r="EN194" i="1"/>
  <c r="EN195" i="1"/>
  <c r="EN196" i="1"/>
  <c r="EN197" i="1"/>
  <c r="EN198" i="1"/>
  <c r="EN199" i="1"/>
  <c r="EN200" i="1"/>
  <c r="EN201" i="1"/>
  <c r="EN202" i="1"/>
  <c r="EN203" i="1"/>
  <c r="EN204" i="1"/>
  <c r="EN205" i="1"/>
  <c r="EN206" i="1"/>
  <c r="EN207" i="1"/>
  <c r="EN208" i="1"/>
  <c r="EN209" i="1"/>
  <c r="EN210" i="1"/>
  <c r="EN211" i="1"/>
  <c r="EN212" i="1"/>
  <c r="EN213" i="1"/>
  <c r="EN214" i="1"/>
  <c r="EN215" i="1"/>
  <c r="EN216" i="1"/>
  <c r="EN217" i="1"/>
  <c r="EN218" i="1"/>
  <c r="EN219" i="1"/>
  <c r="EN220" i="1"/>
  <c r="EN221" i="1"/>
  <c r="EN222" i="1"/>
  <c r="EN223" i="1"/>
  <c r="EN224" i="1"/>
  <c r="EN225" i="1"/>
  <c r="EN226" i="1"/>
  <c r="EN227" i="1"/>
  <c r="EN228" i="1"/>
  <c r="EN229" i="1"/>
  <c r="EN230" i="1"/>
  <c r="EN231" i="1"/>
  <c r="EN232" i="1"/>
  <c r="EN233" i="1"/>
  <c r="EN234" i="1"/>
  <c r="EN235" i="1"/>
  <c r="EN236" i="1"/>
  <c r="EN237" i="1"/>
  <c r="EN238" i="1"/>
  <c r="EN239" i="1"/>
  <c r="EN240" i="1"/>
  <c r="EN241" i="1"/>
  <c r="EN242" i="1"/>
  <c r="EN243" i="1"/>
  <c r="EN244" i="1"/>
  <c r="EN245" i="1"/>
  <c r="EN246" i="1"/>
  <c r="EN247" i="1"/>
  <c r="EN248" i="1"/>
  <c r="EN249" i="1"/>
  <c r="EN250" i="1"/>
  <c r="EN251" i="1"/>
  <c r="EN252" i="1"/>
  <c r="EN253" i="1"/>
  <c r="EN254" i="1"/>
  <c r="EN255" i="1"/>
  <c r="EN256" i="1"/>
  <c r="EN257" i="1"/>
  <c r="EN258" i="1"/>
  <c r="EN259" i="1"/>
  <c r="EN260" i="1"/>
  <c r="EN261" i="1"/>
  <c r="EN262" i="1"/>
  <c r="EN263" i="1"/>
  <c r="EN264" i="1"/>
  <c r="EN265" i="1"/>
  <c r="EN266" i="1"/>
  <c r="EN267" i="1"/>
  <c r="EN268" i="1"/>
  <c r="EN269" i="1"/>
  <c r="EN270" i="1"/>
  <c r="EN271" i="1"/>
  <c r="EV6" i="1"/>
  <c r="ET7" i="1"/>
  <c r="ET8" i="1"/>
  <c r="ET9" i="1"/>
  <c r="ET10" i="1"/>
  <c r="ET11" i="1"/>
  <c r="ET12" i="1"/>
  <c r="ET13" i="1"/>
  <c r="ET14" i="1"/>
  <c r="ET15" i="1"/>
  <c r="ET16" i="1"/>
  <c r="ET17" i="1"/>
  <c r="ET18" i="1"/>
  <c r="ET90" i="1"/>
  <c r="ET20" i="1"/>
  <c r="ET21" i="1"/>
  <c r="ET22" i="1"/>
  <c r="ET23" i="1"/>
  <c r="ET24" i="1"/>
  <c r="ET25" i="1"/>
  <c r="ET26" i="1"/>
  <c r="ET27" i="1"/>
  <c r="ET28" i="1"/>
  <c r="ET29" i="1"/>
  <c r="ET30" i="1"/>
  <c r="ET31" i="1"/>
  <c r="ET32" i="1"/>
  <c r="ET33" i="1"/>
  <c r="ET34" i="1"/>
  <c r="ET35" i="1"/>
  <c r="ET36" i="1"/>
  <c r="ET37" i="1"/>
  <c r="ET38" i="1"/>
  <c r="ET39" i="1"/>
  <c r="ET40" i="1"/>
  <c r="ET41" i="1"/>
  <c r="ET42" i="1"/>
  <c r="ET43" i="1"/>
  <c r="ET44" i="1"/>
  <c r="ET45" i="1"/>
  <c r="ET46" i="1"/>
  <c r="ET47" i="1"/>
  <c r="ET48" i="1"/>
  <c r="ET49" i="1"/>
  <c r="ET50" i="1"/>
  <c r="ET51" i="1"/>
  <c r="ET52" i="1"/>
  <c r="ET53" i="1"/>
  <c r="ET54" i="1"/>
  <c r="ET55" i="1"/>
  <c r="ET56" i="1"/>
  <c r="ET57" i="1"/>
  <c r="ET58" i="1"/>
  <c r="ET59" i="1"/>
  <c r="ET60" i="1"/>
  <c r="ET61" i="1"/>
  <c r="ET62" i="1"/>
  <c r="ET63" i="1"/>
  <c r="ET64" i="1"/>
  <c r="ET65" i="1"/>
  <c r="ET66" i="1"/>
  <c r="ET121" i="1"/>
  <c r="ET68" i="1"/>
  <c r="ET69" i="1"/>
  <c r="ET155" i="1"/>
  <c r="ET71" i="1"/>
  <c r="ET72" i="1"/>
  <c r="ET73" i="1"/>
  <c r="ET74" i="1"/>
  <c r="ET75" i="1"/>
  <c r="ET76" i="1"/>
  <c r="ET77" i="1"/>
  <c r="ET78" i="1"/>
  <c r="ET79" i="1"/>
  <c r="ET80" i="1"/>
  <c r="ET81" i="1"/>
  <c r="ET82" i="1"/>
  <c r="ET83" i="1"/>
  <c r="ET84" i="1"/>
  <c r="ET85" i="1"/>
  <c r="ET86" i="1"/>
  <c r="ET87" i="1"/>
  <c r="ET88" i="1"/>
  <c r="ET114" i="1"/>
  <c r="ET186" i="1"/>
  <c r="ET91" i="1"/>
  <c r="ET92" i="1"/>
  <c r="ET93" i="1"/>
  <c r="ET94" i="1"/>
  <c r="ET95" i="1"/>
  <c r="ET96" i="1"/>
  <c r="ET97" i="1"/>
  <c r="ET98" i="1"/>
  <c r="ET99" i="1"/>
  <c r="ET100" i="1"/>
  <c r="ET101" i="1"/>
  <c r="ET102" i="1"/>
  <c r="ET103" i="1"/>
  <c r="ET104" i="1"/>
  <c r="ET105" i="1"/>
  <c r="ET106" i="1"/>
  <c r="ET107" i="1"/>
  <c r="ET108" i="1"/>
  <c r="ET109" i="1"/>
  <c r="ET110" i="1"/>
  <c r="ET111" i="1"/>
  <c r="ET112" i="1"/>
  <c r="ET113" i="1"/>
  <c r="ET153" i="1"/>
  <c r="ET115" i="1"/>
  <c r="ET116" i="1"/>
  <c r="ET117" i="1"/>
  <c r="ET118" i="1"/>
  <c r="ET119" i="1"/>
  <c r="ET67" i="1"/>
  <c r="ET70" i="1"/>
  <c r="ET122" i="1"/>
  <c r="ET123" i="1"/>
  <c r="ET124" i="1"/>
  <c r="ET125" i="1"/>
  <c r="ET126" i="1"/>
  <c r="ET127" i="1"/>
  <c r="ET128" i="1"/>
  <c r="ET129" i="1"/>
  <c r="ET130" i="1"/>
  <c r="ET131" i="1"/>
  <c r="ET132" i="1"/>
  <c r="ET133" i="1"/>
  <c r="ET134" i="1"/>
  <c r="ET135" i="1"/>
  <c r="ET136" i="1"/>
  <c r="ET137" i="1"/>
  <c r="ET138" i="1"/>
  <c r="ET139" i="1"/>
  <c r="ET140" i="1"/>
  <c r="ET141" i="1"/>
  <c r="ET142" i="1"/>
  <c r="ET143" i="1"/>
  <c r="ET144" i="1"/>
  <c r="ET145" i="1"/>
  <c r="ET146" i="1"/>
  <c r="ET147" i="1"/>
  <c r="ET148" i="1"/>
  <c r="ET149" i="1"/>
  <c r="ET150" i="1"/>
  <c r="ET151" i="1"/>
  <c r="ET152" i="1"/>
  <c r="ET120" i="1"/>
  <c r="ET154" i="1"/>
  <c r="ET89" i="1"/>
  <c r="ET156" i="1"/>
  <c r="ET157" i="1"/>
  <c r="ET158" i="1"/>
  <c r="ET159" i="1"/>
  <c r="ET160" i="1"/>
  <c r="ET161" i="1"/>
  <c r="ET162" i="1"/>
  <c r="ET163" i="1"/>
  <c r="ET164" i="1"/>
  <c r="ET165" i="1"/>
  <c r="ET166" i="1"/>
  <c r="ET167" i="1"/>
  <c r="ET168" i="1"/>
  <c r="ET169" i="1"/>
  <c r="ET170" i="1"/>
  <c r="ET171" i="1"/>
  <c r="ET172" i="1"/>
  <c r="ET173" i="1"/>
  <c r="ET174" i="1"/>
  <c r="ET175" i="1"/>
  <c r="ET176" i="1"/>
  <c r="ET177" i="1"/>
  <c r="ET178" i="1"/>
  <c r="ET179" i="1"/>
  <c r="ET180" i="1"/>
  <c r="ET181" i="1"/>
  <c r="ET182" i="1"/>
  <c r="ET183" i="1"/>
  <c r="ET184" i="1"/>
  <c r="ET185" i="1"/>
  <c r="ET19" i="1"/>
  <c r="ET187" i="1"/>
  <c r="ET188" i="1"/>
  <c r="ET189" i="1"/>
  <c r="ET190" i="1"/>
  <c r="ET191" i="1"/>
  <c r="ET192" i="1"/>
  <c r="ET193" i="1"/>
  <c r="ET194" i="1"/>
  <c r="ET195" i="1"/>
  <c r="ET196" i="1"/>
  <c r="ET197" i="1"/>
  <c r="ET198" i="1"/>
  <c r="ET199" i="1"/>
  <c r="ET200" i="1"/>
  <c r="ET201" i="1"/>
  <c r="ET202" i="1"/>
  <c r="ET203" i="1"/>
  <c r="ET204" i="1"/>
  <c r="ET205" i="1"/>
  <c r="ET206" i="1"/>
  <c r="ET207" i="1"/>
  <c r="ET208" i="1"/>
  <c r="ET209" i="1"/>
  <c r="ET210" i="1"/>
  <c r="ET211" i="1"/>
  <c r="ET212" i="1"/>
  <c r="ET213" i="1"/>
  <c r="ET214" i="1"/>
  <c r="ET215" i="1"/>
  <c r="ET216" i="1"/>
  <c r="ET217" i="1"/>
  <c r="ET218" i="1"/>
  <c r="ET219" i="1"/>
  <c r="ET220" i="1"/>
  <c r="ET221" i="1"/>
  <c r="ET222" i="1"/>
  <c r="ET223" i="1"/>
  <c r="ET224" i="1"/>
  <c r="ET225" i="1"/>
  <c r="ET226" i="1"/>
  <c r="ET227" i="1"/>
  <c r="ET228" i="1"/>
  <c r="ET229" i="1"/>
  <c r="ET230" i="1"/>
  <c r="ET231" i="1"/>
  <c r="ET232" i="1"/>
  <c r="ET233" i="1"/>
  <c r="ET234" i="1"/>
  <c r="ET235" i="1"/>
  <c r="ET236" i="1"/>
  <c r="ET237" i="1"/>
  <c r="ET238" i="1"/>
  <c r="ET239" i="1"/>
  <c r="ET240" i="1"/>
  <c r="ET241" i="1"/>
  <c r="ET242" i="1"/>
  <c r="ET243" i="1"/>
  <c r="ET244" i="1"/>
  <c r="ET245" i="1"/>
  <c r="ET246" i="1"/>
  <c r="ET247" i="1"/>
  <c r="ET248" i="1"/>
  <c r="ET249" i="1"/>
  <c r="ET250" i="1"/>
  <c r="ET251" i="1"/>
  <c r="ET252" i="1"/>
  <c r="ET253" i="1"/>
  <c r="ET254" i="1"/>
  <c r="ET255" i="1"/>
  <c r="ET256" i="1"/>
  <c r="ET257" i="1"/>
  <c r="ET258" i="1"/>
  <c r="ET259" i="1"/>
  <c r="ET260" i="1"/>
  <c r="ET261" i="1"/>
  <c r="ET262" i="1"/>
  <c r="ET263" i="1"/>
  <c r="ET264" i="1"/>
  <c r="ET265" i="1"/>
  <c r="ET266" i="1"/>
  <c r="ET267" i="1"/>
  <c r="ET268" i="1"/>
  <c r="ET269" i="1"/>
  <c r="ET270" i="1"/>
  <c r="ET271" i="1"/>
  <c r="ES6" i="1"/>
  <c r="ER7" i="1"/>
  <c r="ER8" i="1"/>
  <c r="ER9" i="1"/>
  <c r="ER10" i="1"/>
  <c r="ER11" i="1"/>
  <c r="ER12" i="1"/>
  <c r="ER13" i="1"/>
  <c r="ER14" i="1"/>
  <c r="ER15" i="1"/>
  <c r="ER16" i="1"/>
  <c r="ER17" i="1"/>
  <c r="ER18" i="1"/>
  <c r="ER20" i="1"/>
  <c r="ER21" i="1"/>
  <c r="ER22" i="1"/>
  <c r="ER23" i="1"/>
  <c r="ER24" i="1"/>
  <c r="ER25" i="1"/>
  <c r="ER26" i="1"/>
  <c r="ER27" i="1"/>
  <c r="ER28" i="1"/>
  <c r="ER29" i="1"/>
  <c r="ER30" i="1"/>
  <c r="ER31" i="1"/>
  <c r="ER32" i="1"/>
  <c r="ER33" i="1"/>
  <c r="ER34" i="1"/>
  <c r="ER35" i="1"/>
  <c r="ER36" i="1"/>
  <c r="ER37" i="1"/>
  <c r="ER38" i="1"/>
  <c r="ER39" i="1"/>
  <c r="ER40" i="1"/>
  <c r="ER41" i="1"/>
  <c r="ER42" i="1"/>
  <c r="ER43" i="1"/>
  <c r="ER44" i="1"/>
  <c r="ER45" i="1"/>
  <c r="ER46" i="1"/>
  <c r="ER47" i="1"/>
  <c r="ER48" i="1"/>
  <c r="ER49" i="1"/>
  <c r="ER50" i="1"/>
  <c r="ER51" i="1"/>
  <c r="ER52" i="1"/>
  <c r="ER53" i="1"/>
  <c r="ER54" i="1"/>
  <c r="ER55" i="1"/>
  <c r="ER56" i="1"/>
  <c r="ER57" i="1"/>
  <c r="ER58" i="1"/>
  <c r="ER59" i="1"/>
  <c r="ER60" i="1"/>
  <c r="ER61" i="1"/>
  <c r="ER62" i="1"/>
  <c r="ER63" i="1"/>
  <c r="ER64" i="1"/>
  <c r="ER65" i="1"/>
  <c r="ER66" i="1"/>
  <c r="ER121" i="1"/>
  <c r="ER68" i="1"/>
  <c r="ER69" i="1"/>
  <c r="ER155" i="1"/>
  <c r="ER71" i="1"/>
  <c r="ER72" i="1"/>
  <c r="ER73" i="1"/>
  <c r="ER74" i="1"/>
  <c r="ER75" i="1"/>
  <c r="ER76" i="1"/>
  <c r="ER77" i="1"/>
  <c r="ER78" i="1"/>
  <c r="ER79" i="1"/>
  <c r="ER80" i="1"/>
  <c r="ER81" i="1"/>
  <c r="ER82" i="1"/>
  <c r="ER83" i="1"/>
  <c r="ER84" i="1"/>
  <c r="ER85" i="1"/>
  <c r="ER86" i="1"/>
  <c r="ER87" i="1"/>
  <c r="ER88" i="1"/>
  <c r="ER114" i="1"/>
  <c r="ER186" i="1"/>
  <c r="ER91" i="1"/>
  <c r="ER92" i="1"/>
  <c r="ER93" i="1"/>
  <c r="ER94" i="1"/>
  <c r="ER95" i="1"/>
  <c r="ER96" i="1"/>
  <c r="ER97" i="1"/>
  <c r="ER98" i="1"/>
  <c r="ER99" i="1"/>
  <c r="ER100" i="1"/>
  <c r="ER101" i="1"/>
  <c r="ER102" i="1"/>
  <c r="ER103" i="1"/>
  <c r="ER104" i="1"/>
  <c r="ER105" i="1"/>
  <c r="ER106" i="1"/>
  <c r="ER107" i="1"/>
  <c r="ER108" i="1"/>
  <c r="ER109" i="1"/>
  <c r="ER110" i="1"/>
  <c r="ER111" i="1"/>
  <c r="ER112" i="1"/>
  <c r="ER113" i="1"/>
  <c r="ER153" i="1"/>
  <c r="ER115" i="1"/>
  <c r="ER116" i="1"/>
  <c r="ER117" i="1"/>
  <c r="ER118" i="1"/>
  <c r="ER119" i="1"/>
  <c r="ER67" i="1"/>
  <c r="ER70" i="1"/>
  <c r="ER122" i="1"/>
  <c r="ER123" i="1"/>
  <c r="ER124" i="1"/>
  <c r="ER125" i="1"/>
  <c r="ER126" i="1"/>
  <c r="ER127" i="1"/>
  <c r="ER128" i="1"/>
  <c r="ER129" i="1"/>
  <c r="ER130" i="1"/>
  <c r="ER131" i="1"/>
  <c r="ER132" i="1"/>
  <c r="ER133" i="1"/>
  <c r="ER134" i="1"/>
  <c r="ER135" i="1"/>
  <c r="ER136" i="1"/>
  <c r="ER137" i="1"/>
  <c r="ER138" i="1"/>
  <c r="ER139" i="1"/>
  <c r="ER140" i="1"/>
  <c r="ER141" i="1"/>
  <c r="ER142" i="1"/>
  <c r="ER143" i="1"/>
  <c r="ER144" i="1"/>
  <c r="ER145" i="1"/>
  <c r="ER146" i="1"/>
  <c r="ER147" i="1"/>
  <c r="ER148" i="1"/>
  <c r="ER149" i="1"/>
  <c r="ER150" i="1"/>
  <c r="ER151" i="1"/>
  <c r="ER152" i="1"/>
  <c r="ER120" i="1"/>
  <c r="ER154" i="1"/>
  <c r="ER89" i="1"/>
  <c r="ER156" i="1"/>
  <c r="ER157" i="1"/>
  <c r="ER158" i="1"/>
  <c r="ER159" i="1"/>
  <c r="ER160" i="1"/>
  <c r="ER161" i="1"/>
  <c r="ER162" i="1"/>
  <c r="ER163" i="1"/>
  <c r="ER164" i="1"/>
  <c r="ER165" i="1"/>
  <c r="ER166" i="1"/>
  <c r="ER167" i="1"/>
  <c r="ER168" i="1"/>
  <c r="ER169" i="1"/>
  <c r="ER170" i="1"/>
  <c r="ER171" i="1"/>
  <c r="ER172" i="1"/>
  <c r="ER173" i="1"/>
  <c r="ER174" i="1"/>
  <c r="ER175" i="1"/>
  <c r="ER176" i="1"/>
  <c r="ER177" i="1"/>
  <c r="ER178" i="1"/>
  <c r="ER179" i="1"/>
  <c r="ER180" i="1"/>
  <c r="ER181" i="1"/>
  <c r="ER182" i="1"/>
  <c r="ER183" i="1"/>
  <c r="ER184" i="1"/>
  <c r="ER185" i="1"/>
  <c r="ER19" i="1"/>
  <c r="ER187" i="1"/>
  <c r="ER188" i="1"/>
  <c r="ER189" i="1"/>
  <c r="ER190" i="1"/>
  <c r="ER191" i="1"/>
  <c r="ER192" i="1"/>
  <c r="ER193" i="1"/>
  <c r="ER194" i="1"/>
  <c r="ER195" i="1"/>
  <c r="ER196" i="1"/>
  <c r="ER197" i="1"/>
  <c r="ER198" i="1"/>
  <c r="ER199" i="1"/>
  <c r="ER200" i="1"/>
  <c r="ER201" i="1"/>
  <c r="ER202" i="1"/>
  <c r="ER203" i="1"/>
  <c r="ER204" i="1"/>
  <c r="ER205" i="1"/>
  <c r="ER206" i="1"/>
  <c r="ER207" i="1"/>
  <c r="ER208" i="1"/>
  <c r="ER209" i="1"/>
  <c r="ER210" i="1"/>
  <c r="ER211" i="1"/>
  <c r="ER212" i="1"/>
  <c r="ER213" i="1"/>
  <c r="ER214" i="1"/>
  <c r="ER215" i="1"/>
  <c r="ER216" i="1"/>
  <c r="ER217" i="1"/>
  <c r="ER218" i="1"/>
  <c r="ER219" i="1"/>
  <c r="ER220" i="1"/>
  <c r="ER221" i="1"/>
  <c r="ER222" i="1"/>
  <c r="ER223" i="1"/>
  <c r="ER224" i="1"/>
  <c r="ER225" i="1"/>
  <c r="ER226" i="1"/>
  <c r="ER227" i="1"/>
  <c r="ER228" i="1"/>
  <c r="ER229" i="1"/>
  <c r="ER230" i="1"/>
  <c r="ER231" i="1"/>
  <c r="ER232" i="1"/>
  <c r="ER233" i="1"/>
  <c r="ER234" i="1"/>
  <c r="ER235" i="1"/>
  <c r="ER236" i="1"/>
  <c r="ER237" i="1"/>
  <c r="ER238" i="1"/>
  <c r="ER239" i="1"/>
  <c r="ER240" i="1"/>
  <c r="ER241" i="1"/>
  <c r="ER242" i="1"/>
  <c r="ER243" i="1"/>
  <c r="ER244" i="1"/>
  <c r="ER245" i="1"/>
  <c r="ER246" i="1"/>
  <c r="ER247" i="1"/>
  <c r="ER248" i="1"/>
  <c r="ER249" i="1"/>
  <c r="ER250" i="1"/>
  <c r="ER251" i="1"/>
  <c r="ER252" i="1"/>
  <c r="ER253" i="1"/>
  <c r="ER254" i="1"/>
  <c r="ER255" i="1"/>
  <c r="ER256" i="1"/>
  <c r="ER257" i="1"/>
  <c r="ER258" i="1"/>
  <c r="ER259" i="1"/>
  <c r="ER260" i="1"/>
  <c r="ER261" i="1"/>
  <c r="ER262" i="1"/>
  <c r="ER263" i="1"/>
  <c r="ER264" i="1"/>
  <c r="ER265" i="1"/>
  <c r="ER266" i="1"/>
  <c r="ER267" i="1"/>
  <c r="ER268" i="1"/>
  <c r="ER269" i="1"/>
  <c r="ER270" i="1"/>
  <c r="ER271" i="1"/>
  <c r="ER6" i="1"/>
  <c r="ES7" i="1"/>
  <c r="ES8" i="1"/>
  <c r="ES9" i="1"/>
  <c r="ES10" i="1"/>
  <c r="ES11" i="1"/>
  <c r="ES12" i="1"/>
  <c r="ES13" i="1"/>
  <c r="ES14" i="1"/>
  <c r="ES15" i="1"/>
  <c r="ES16" i="1"/>
  <c r="ES17" i="1"/>
  <c r="ES18" i="1"/>
  <c r="ES90" i="1"/>
  <c r="ES20" i="1"/>
  <c r="ES21" i="1"/>
  <c r="ES22" i="1"/>
  <c r="ES23" i="1"/>
  <c r="ES24" i="1"/>
  <c r="ES25" i="1"/>
  <c r="ES26" i="1"/>
  <c r="ES27" i="1"/>
  <c r="ES28" i="1"/>
  <c r="ES29" i="1"/>
  <c r="ES30" i="1"/>
  <c r="ES31" i="1"/>
  <c r="ES32" i="1"/>
  <c r="ES33" i="1"/>
  <c r="ES34" i="1"/>
  <c r="ES35" i="1"/>
  <c r="ES36" i="1"/>
  <c r="ES37" i="1"/>
  <c r="ES38" i="1"/>
  <c r="ES39" i="1"/>
  <c r="ES40" i="1"/>
  <c r="ES41" i="1"/>
  <c r="ES42" i="1"/>
  <c r="ES43" i="1"/>
  <c r="ES44" i="1"/>
  <c r="ES45" i="1"/>
  <c r="ES46" i="1"/>
  <c r="ES47" i="1"/>
  <c r="ES48" i="1"/>
  <c r="ES49" i="1"/>
  <c r="ES50" i="1"/>
  <c r="ES51" i="1"/>
  <c r="ES52" i="1"/>
  <c r="ES53" i="1"/>
  <c r="ES54" i="1"/>
  <c r="ES55" i="1"/>
  <c r="ES56" i="1"/>
  <c r="ES57" i="1"/>
  <c r="ES58" i="1"/>
  <c r="ES59" i="1"/>
  <c r="ES60" i="1"/>
  <c r="ES61" i="1"/>
  <c r="ES62" i="1"/>
  <c r="ES63" i="1"/>
  <c r="ES64" i="1"/>
  <c r="ES65" i="1"/>
  <c r="ES66" i="1"/>
  <c r="ES121" i="1"/>
  <c r="ES68" i="1"/>
  <c r="ES69" i="1"/>
  <c r="ES155" i="1"/>
  <c r="ES71" i="1"/>
  <c r="ES72" i="1"/>
  <c r="ES73" i="1"/>
  <c r="ES74" i="1"/>
  <c r="ES75" i="1"/>
  <c r="ES76" i="1"/>
  <c r="ES77" i="1"/>
  <c r="ES78" i="1"/>
  <c r="ES79" i="1"/>
  <c r="ES80" i="1"/>
  <c r="ES81" i="1"/>
  <c r="ES82" i="1"/>
  <c r="ES83" i="1"/>
  <c r="ES84" i="1"/>
  <c r="ES85" i="1"/>
  <c r="ES86" i="1"/>
  <c r="ES87" i="1"/>
  <c r="ES88" i="1"/>
  <c r="ES114" i="1"/>
  <c r="ES186" i="1"/>
  <c r="ES91" i="1"/>
  <c r="ES92" i="1"/>
  <c r="ES93" i="1"/>
  <c r="ES94" i="1"/>
  <c r="ES95" i="1"/>
  <c r="ES96" i="1"/>
  <c r="ES97" i="1"/>
  <c r="ES98" i="1"/>
  <c r="ES99" i="1"/>
  <c r="ES100" i="1"/>
  <c r="ES101" i="1"/>
  <c r="ES102" i="1"/>
  <c r="ES103" i="1"/>
  <c r="ES104" i="1"/>
  <c r="ES105" i="1"/>
  <c r="ES106" i="1"/>
  <c r="ES107" i="1"/>
  <c r="ES108" i="1"/>
  <c r="ES109" i="1"/>
  <c r="ES110" i="1"/>
  <c r="ES111" i="1"/>
  <c r="ES112" i="1"/>
  <c r="ES113" i="1"/>
  <c r="ES153" i="1"/>
  <c r="ES115" i="1"/>
  <c r="ES116" i="1"/>
  <c r="ES117" i="1"/>
  <c r="ES118" i="1"/>
  <c r="ES119" i="1"/>
  <c r="ES67" i="1"/>
  <c r="ES70" i="1"/>
  <c r="ES122" i="1"/>
  <c r="ES123" i="1"/>
  <c r="ES124" i="1"/>
  <c r="ES125" i="1"/>
  <c r="ES126" i="1"/>
  <c r="ES127" i="1"/>
  <c r="ES128" i="1"/>
  <c r="ES129" i="1"/>
  <c r="ES130" i="1"/>
  <c r="ES131" i="1"/>
  <c r="ES132" i="1"/>
  <c r="ES133" i="1"/>
  <c r="ES134" i="1"/>
  <c r="ES135" i="1"/>
  <c r="ES136" i="1"/>
  <c r="ES137" i="1"/>
  <c r="ES138" i="1"/>
  <c r="ES139" i="1"/>
  <c r="ES140" i="1"/>
  <c r="ES141" i="1"/>
  <c r="ES142" i="1"/>
  <c r="ES143" i="1"/>
  <c r="ES144" i="1"/>
  <c r="ES145" i="1"/>
  <c r="ES146" i="1"/>
  <c r="ES147" i="1"/>
  <c r="ES148" i="1"/>
  <c r="ES149" i="1"/>
  <c r="ES150" i="1"/>
  <c r="ES151" i="1"/>
  <c r="ES152" i="1"/>
  <c r="ES120" i="1"/>
  <c r="ES154" i="1"/>
  <c r="ES89" i="1"/>
  <c r="ES156" i="1"/>
  <c r="ES157" i="1"/>
  <c r="ES158" i="1"/>
  <c r="ES159" i="1"/>
  <c r="ES160" i="1"/>
  <c r="ES161" i="1"/>
  <c r="ES162" i="1"/>
  <c r="ES163" i="1"/>
  <c r="ES164" i="1"/>
  <c r="ES165" i="1"/>
  <c r="ES166" i="1"/>
  <c r="ES167" i="1"/>
  <c r="ES168" i="1"/>
  <c r="ES169" i="1"/>
  <c r="ES170" i="1"/>
  <c r="ES171" i="1"/>
  <c r="ES172" i="1"/>
  <c r="ES173" i="1"/>
  <c r="ES174" i="1"/>
  <c r="ES175" i="1"/>
  <c r="ES176" i="1"/>
  <c r="ES177" i="1"/>
  <c r="ES178" i="1"/>
  <c r="ES179" i="1"/>
  <c r="ES180" i="1"/>
  <c r="ES181" i="1"/>
  <c r="ES182" i="1"/>
  <c r="ES183" i="1"/>
  <c r="ES184" i="1"/>
  <c r="ES185" i="1"/>
  <c r="ES19" i="1"/>
  <c r="ES187" i="1"/>
  <c r="ES188" i="1"/>
  <c r="ES189" i="1"/>
  <c r="ES190" i="1"/>
  <c r="ES191" i="1"/>
  <c r="ES192" i="1"/>
  <c r="ES193" i="1"/>
  <c r="ES194" i="1"/>
  <c r="ES195" i="1"/>
  <c r="ES196" i="1"/>
  <c r="ES197" i="1"/>
  <c r="ES198" i="1"/>
  <c r="ES199" i="1"/>
  <c r="ES200" i="1"/>
  <c r="ES201" i="1"/>
  <c r="ES202" i="1"/>
  <c r="ES203" i="1"/>
  <c r="ES204" i="1"/>
  <c r="ES205" i="1"/>
  <c r="ES206" i="1"/>
  <c r="ES207" i="1"/>
  <c r="ES208" i="1"/>
  <c r="ES209" i="1"/>
  <c r="ES210" i="1"/>
  <c r="ES211" i="1"/>
  <c r="ES212" i="1"/>
  <c r="ES213" i="1"/>
  <c r="ES214" i="1"/>
  <c r="ES215" i="1"/>
  <c r="ES216" i="1"/>
  <c r="ES217" i="1"/>
  <c r="ES218" i="1"/>
  <c r="ES219" i="1"/>
  <c r="ES220" i="1"/>
  <c r="ES221" i="1"/>
  <c r="ES222" i="1"/>
  <c r="ES223" i="1"/>
  <c r="ES224" i="1"/>
  <c r="ES225" i="1"/>
  <c r="ES226" i="1"/>
  <c r="ES227" i="1"/>
  <c r="ES228" i="1"/>
  <c r="ES229" i="1"/>
  <c r="ES230" i="1"/>
  <c r="ES231" i="1"/>
  <c r="ES232" i="1"/>
  <c r="ES233" i="1"/>
  <c r="ES234" i="1"/>
  <c r="ES235" i="1"/>
  <c r="ES236" i="1"/>
  <c r="ES237" i="1"/>
  <c r="ES238" i="1"/>
  <c r="ES239" i="1"/>
  <c r="ES240" i="1"/>
  <c r="ES241" i="1"/>
  <c r="ES242" i="1"/>
  <c r="ES243" i="1"/>
  <c r="ES244" i="1"/>
  <c r="ES245" i="1"/>
  <c r="ES246" i="1"/>
  <c r="ES247" i="1"/>
  <c r="ES248" i="1"/>
  <c r="ES249" i="1"/>
  <c r="ES250" i="1"/>
  <c r="ES251" i="1"/>
  <c r="ES252" i="1"/>
  <c r="ES253" i="1"/>
  <c r="ES254" i="1"/>
  <c r="ES255" i="1"/>
  <c r="ES256" i="1"/>
  <c r="ES257" i="1"/>
  <c r="ES258" i="1"/>
  <c r="ES259" i="1"/>
  <c r="ES260" i="1"/>
  <c r="ES261" i="1"/>
  <c r="ES262" i="1"/>
  <c r="ES263" i="1"/>
  <c r="ES264" i="1"/>
  <c r="ES265" i="1"/>
  <c r="ES266" i="1"/>
  <c r="ES267" i="1"/>
  <c r="ES268" i="1"/>
  <c r="ES269" i="1"/>
  <c r="ES270" i="1"/>
  <c r="ES271" i="1"/>
  <c r="EL6" i="1"/>
  <c r="EL7" i="1"/>
  <c r="EM7" i="1"/>
  <c r="EL8" i="1"/>
  <c r="EM8" i="1"/>
  <c r="EL9" i="1"/>
  <c r="EM9" i="1"/>
  <c r="EL10" i="1"/>
  <c r="EM10" i="1"/>
  <c r="EL11" i="1"/>
  <c r="EM11" i="1"/>
  <c r="EL12" i="1"/>
  <c r="EM12" i="1"/>
  <c r="EL13" i="1"/>
  <c r="EM13" i="1"/>
  <c r="EL14" i="1"/>
  <c r="EM14" i="1"/>
  <c r="EL15" i="1"/>
  <c r="EM15" i="1"/>
  <c r="EL16" i="1"/>
  <c r="EM16" i="1"/>
  <c r="EL17" i="1"/>
  <c r="EM17" i="1"/>
  <c r="EL18" i="1"/>
  <c r="EM18" i="1"/>
  <c r="EL90" i="1"/>
  <c r="EM90" i="1"/>
  <c r="EL20" i="1"/>
  <c r="EM20" i="1"/>
  <c r="EL21" i="1"/>
  <c r="EM21" i="1"/>
  <c r="EL22" i="1"/>
  <c r="EM22" i="1"/>
  <c r="EL23" i="1"/>
  <c r="EM23" i="1"/>
  <c r="EL24" i="1"/>
  <c r="EM24" i="1"/>
  <c r="EL25" i="1"/>
  <c r="EM25" i="1"/>
  <c r="EL26" i="1"/>
  <c r="EM26" i="1"/>
  <c r="EL27" i="1"/>
  <c r="EM27" i="1"/>
  <c r="EL28" i="1"/>
  <c r="EM28" i="1"/>
  <c r="EL29" i="1"/>
  <c r="EM29" i="1"/>
  <c r="EL30" i="1"/>
  <c r="EM30" i="1"/>
  <c r="EL31" i="1"/>
  <c r="EM31" i="1"/>
  <c r="EL32" i="1"/>
  <c r="EM32" i="1"/>
  <c r="EL33" i="1"/>
  <c r="EM33" i="1"/>
  <c r="EL34" i="1"/>
  <c r="EM34" i="1"/>
  <c r="EL35" i="1"/>
  <c r="EM35" i="1"/>
  <c r="EL36" i="1"/>
  <c r="EM36" i="1"/>
  <c r="EL37" i="1"/>
  <c r="EM37" i="1"/>
  <c r="EL38" i="1"/>
  <c r="EM38" i="1"/>
  <c r="EL39" i="1"/>
  <c r="EM39" i="1"/>
  <c r="EL40" i="1"/>
  <c r="EM40" i="1"/>
  <c r="EL41" i="1"/>
  <c r="EM41" i="1"/>
  <c r="EL42" i="1"/>
  <c r="EM42" i="1"/>
  <c r="EL43" i="1"/>
  <c r="EM43" i="1"/>
  <c r="EL44" i="1"/>
  <c r="EM44" i="1"/>
  <c r="EL45" i="1"/>
  <c r="EM45" i="1"/>
  <c r="EL46" i="1"/>
  <c r="EM46" i="1"/>
  <c r="EL47" i="1"/>
  <c r="EM47" i="1"/>
  <c r="EL48" i="1"/>
  <c r="EM48" i="1"/>
  <c r="EL49" i="1"/>
  <c r="EM49" i="1"/>
  <c r="EL50" i="1"/>
  <c r="EM50" i="1"/>
  <c r="EL51" i="1"/>
  <c r="EM51" i="1"/>
  <c r="EL52" i="1"/>
  <c r="EM52" i="1"/>
  <c r="EL53" i="1"/>
  <c r="EM53" i="1"/>
  <c r="EL54" i="1"/>
  <c r="EM54" i="1"/>
  <c r="EL55" i="1"/>
  <c r="EM55" i="1"/>
  <c r="EL56" i="1"/>
  <c r="EM56" i="1"/>
  <c r="EL57" i="1"/>
  <c r="EM57" i="1"/>
  <c r="EL58" i="1"/>
  <c r="EM58" i="1"/>
  <c r="EL59" i="1"/>
  <c r="EM59" i="1"/>
  <c r="EL60" i="1"/>
  <c r="EM60" i="1"/>
  <c r="EL61" i="1"/>
  <c r="EM61" i="1"/>
  <c r="EL62" i="1"/>
  <c r="EM62" i="1"/>
  <c r="EL63" i="1"/>
  <c r="EM63" i="1"/>
  <c r="EL64" i="1"/>
  <c r="EM64" i="1"/>
  <c r="EL65" i="1"/>
  <c r="EM65" i="1"/>
  <c r="EL66" i="1"/>
  <c r="EM66" i="1"/>
  <c r="EL121" i="1"/>
  <c r="EM121" i="1"/>
  <c r="EL68" i="1"/>
  <c r="EM68" i="1"/>
  <c r="EL69" i="1"/>
  <c r="EM69" i="1"/>
  <c r="EL155" i="1"/>
  <c r="EM155" i="1"/>
  <c r="EL71" i="1"/>
  <c r="EM71" i="1"/>
  <c r="EL72" i="1"/>
  <c r="EM72" i="1"/>
  <c r="EL73" i="1"/>
  <c r="EM73" i="1"/>
  <c r="EL74" i="1"/>
  <c r="EM74" i="1"/>
  <c r="EL75" i="1"/>
  <c r="EM75" i="1"/>
  <c r="EL76" i="1"/>
  <c r="EM76" i="1"/>
  <c r="EL77" i="1"/>
  <c r="EM77" i="1"/>
  <c r="EL78" i="1"/>
  <c r="EM78" i="1"/>
  <c r="EL79" i="1"/>
  <c r="EM79" i="1"/>
  <c r="EL80" i="1"/>
  <c r="EM80" i="1"/>
  <c r="EL81" i="1"/>
  <c r="EM81" i="1"/>
  <c r="EL82" i="1"/>
  <c r="EM82" i="1"/>
  <c r="EL83" i="1"/>
  <c r="EM83" i="1"/>
  <c r="EL84" i="1"/>
  <c r="EM84" i="1"/>
  <c r="EL85" i="1"/>
  <c r="EM85" i="1"/>
  <c r="EL86" i="1"/>
  <c r="EM86" i="1"/>
  <c r="EL87" i="1"/>
  <c r="EM87" i="1"/>
  <c r="EL88" i="1"/>
  <c r="EM88" i="1"/>
  <c r="EL114" i="1"/>
  <c r="EM114" i="1"/>
  <c r="EL186" i="1"/>
  <c r="EM186" i="1"/>
  <c r="EL91" i="1"/>
  <c r="EM91" i="1"/>
  <c r="EL92" i="1"/>
  <c r="EM92" i="1"/>
  <c r="EL93" i="1"/>
  <c r="EM93" i="1"/>
  <c r="EL94" i="1"/>
  <c r="EM94" i="1"/>
  <c r="EL95" i="1"/>
  <c r="EM95" i="1"/>
  <c r="EL96" i="1"/>
  <c r="EM96" i="1"/>
  <c r="EL97" i="1"/>
  <c r="EM97" i="1"/>
  <c r="EL98" i="1"/>
  <c r="EM98" i="1"/>
  <c r="EL99" i="1"/>
  <c r="EM99" i="1"/>
  <c r="EL100" i="1"/>
  <c r="EM100" i="1"/>
  <c r="EL101" i="1"/>
  <c r="EM101" i="1"/>
  <c r="EL102" i="1"/>
  <c r="EM102" i="1"/>
  <c r="EL103" i="1"/>
  <c r="EM103" i="1"/>
  <c r="EL104" i="1"/>
  <c r="EM104" i="1"/>
  <c r="EL105" i="1"/>
  <c r="EM105" i="1"/>
  <c r="EL106" i="1"/>
  <c r="EM106" i="1"/>
  <c r="EL107" i="1"/>
  <c r="EM107" i="1"/>
  <c r="EL108" i="1"/>
  <c r="EM108" i="1"/>
  <c r="EL109" i="1"/>
  <c r="EM109" i="1"/>
  <c r="EL110" i="1"/>
  <c r="EM110" i="1"/>
  <c r="EL111" i="1"/>
  <c r="EM111" i="1"/>
  <c r="EL112" i="1"/>
  <c r="EM112" i="1"/>
  <c r="EL113" i="1"/>
  <c r="EM113" i="1"/>
  <c r="EL153" i="1"/>
  <c r="EM153" i="1"/>
  <c r="EL115" i="1"/>
  <c r="EM115" i="1"/>
  <c r="EL116" i="1"/>
  <c r="EM116" i="1"/>
  <c r="EL117" i="1"/>
  <c r="EM117" i="1"/>
  <c r="EL118" i="1"/>
  <c r="EM118" i="1"/>
  <c r="EL119" i="1"/>
  <c r="EM119" i="1"/>
  <c r="EL67" i="1"/>
  <c r="EM67" i="1"/>
  <c r="EL70" i="1"/>
  <c r="EM70" i="1"/>
  <c r="EL122" i="1"/>
  <c r="EM122" i="1"/>
  <c r="EL123" i="1"/>
  <c r="EM123" i="1"/>
  <c r="EL124" i="1"/>
  <c r="EM124" i="1"/>
  <c r="EL125" i="1"/>
  <c r="EM125" i="1"/>
  <c r="EL126" i="1"/>
  <c r="EM126" i="1"/>
  <c r="EL127" i="1"/>
  <c r="EM127" i="1"/>
  <c r="EL128" i="1"/>
  <c r="EM128" i="1"/>
  <c r="EL129" i="1"/>
  <c r="EM129" i="1"/>
  <c r="EL130" i="1"/>
  <c r="EM130" i="1"/>
  <c r="EL131" i="1"/>
  <c r="EM131" i="1"/>
  <c r="EL132" i="1"/>
  <c r="EM132" i="1"/>
  <c r="EL133" i="1"/>
  <c r="EM133" i="1"/>
  <c r="EL134" i="1"/>
  <c r="EM134" i="1"/>
  <c r="EL135" i="1"/>
  <c r="EM135" i="1"/>
  <c r="EL136" i="1"/>
  <c r="EM136" i="1"/>
  <c r="EL137" i="1"/>
  <c r="EM137" i="1"/>
  <c r="EL138" i="1"/>
  <c r="EM138" i="1"/>
  <c r="EL139" i="1"/>
  <c r="EM139" i="1"/>
  <c r="EL140" i="1"/>
  <c r="EM140" i="1"/>
  <c r="EL141" i="1"/>
  <c r="EM141" i="1"/>
  <c r="EL142" i="1"/>
  <c r="EM142" i="1"/>
  <c r="EL143" i="1"/>
  <c r="EM143" i="1"/>
  <c r="EL144" i="1"/>
  <c r="EM144" i="1"/>
  <c r="EL145" i="1"/>
  <c r="EM145" i="1"/>
  <c r="EL146" i="1"/>
  <c r="EM146" i="1"/>
  <c r="EL147" i="1"/>
  <c r="EM147" i="1"/>
  <c r="EL148" i="1"/>
  <c r="EM148" i="1"/>
  <c r="EL149" i="1"/>
  <c r="EM149" i="1"/>
  <c r="EL150" i="1"/>
  <c r="EM150" i="1"/>
  <c r="EL151" i="1"/>
  <c r="EM151" i="1"/>
  <c r="EL152" i="1"/>
  <c r="EM152" i="1"/>
  <c r="EL120" i="1"/>
  <c r="EM120" i="1"/>
  <c r="EL154" i="1"/>
  <c r="EM154" i="1"/>
  <c r="EL89" i="1"/>
  <c r="EM89" i="1"/>
  <c r="EL156" i="1"/>
  <c r="EM156" i="1"/>
  <c r="EL157" i="1"/>
  <c r="EM157" i="1"/>
  <c r="EL158" i="1"/>
  <c r="EM158" i="1"/>
  <c r="EL159" i="1"/>
  <c r="EM159" i="1"/>
  <c r="EL160" i="1"/>
  <c r="EM160" i="1"/>
  <c r="EL161" i="1"/>
  <c r="EM161" i="1"/>
  <c r="EL162" i="1"/>
  <c r="EM162" i="1"/>
  <c r="EL163" i="1"/>
  <c r="EM163" i="1"/>
  <c r="EL164" i="1"/>
  <c r="EM164" i="1"/>
  <c r="EL165" i="1"/>
  <c r="EM165" i="1"/>
  <c r="EL166" i="1"/>
  <c r="EM166" i="1"/>
  <c r="EL167" i="1"/>
  <c r="EM167" i="1"/>
  <c r="EL168" i="1"/>
  <c r="EM168" i="1"/>
  <c r="EL169" i="1"/>
  <c r="EM169" i="1"/>
  <c r="EL170" i="1"/>
  <c r="EM170" i="1"/>
  <c r="EL171" i="1"/>
  <c r="EM171" i="1"/>
  <c r="EL172" i="1"/>
  <c r="EM172" i="1"/>
  <c r="EL173" i="1"/>
  <c r="EM173" i="1"/>
  <c r="EL174" i="1"/>
  <c r="EM174" i="1"/>
  <c r="EL175" i="1"/>
  <c r="EM175" i="1"/>
  <c r="EL176" i="1"/>
  <c r="EM176" i="1"/>
  <c r="EL177" i="1"/>
  <c r="EM177" i="1"/>
  <c r="EL178" i="1"/>
  <c r="EM178" i="1"/>
  <c r="EL179" i="1"/>
  <c r="EM179" i="1"/>
  <c r="EL180" i="1"/>
  <c r="EM180" i="1"/>
  <c r="EL181" i="1"/>
  <c r="EM181" i="1"/>
  <c r="EL182" i="1"/>
  <c r="EM182" i="1"/>
  <c r="EL183" i="1"/>
  <c r="EM183" i="1"/>
  <c r="EL184" i="1"/>
  <c r="EM184" i="1"/>
  <c r="EL185" i="1"/>
  <c r="EM185" i="1"/>
  <c r="EL19" i="1"/>
  <c r="EM19" i="1"/>
  <c r="EL187" i="1"/>
  <c r="EM187" i="1"/>
  <c r="EL188" i="1"/>
  <c r="EM188" i="1"/>
  <c r="EL189" i="1"/>
  <c r="EM189" i="1"/>
  <c r="EL190" i="1"/>
  <c r="EM190" i="1"/>
  <c r="EL191" i="1"/>
  <c r="EM191" i="1"/>
  <c r="EL192" i="1"/>
  <c r="EM192" i="1"/>
  <c r="EL193" i="1"/>
  <c r="EM193" i="1"/>
  <c r="EL194" i="1"/>
  <c r="EM194" i="1"/>
  <c r="EL195" i="1"/>
  <c r="EM195" i="1"/>
  <c r="EL196" i="1"/>
  <c r="EM196" i="1"/>
  <c r="EL197" i="1"/>
  <c r="EM197" i="1"/>
  <c r="EL198" i="1"/>
  <c r="EM198" i="1"/>
  <c r="EL199" i="1"/>
  <c r="EM199" i="1"/>
  <c r="EL200" i="1"/>
  <c r="EM200" i="1"/>
  <c r="EL201" i="1"/>
  <c r="EM201" i="1"/>
  <c r="EL202" i="1"/>
  <c r="EM202" i="1"/>
  <c r="EL203" i="1"/>
  <c r="EM203" i="1"/>
  <c r="EL204" i="1"/>
  <c r="EM204" i="1"/>
  <c r="EL205" i="1"/>
  <c r="EM205" i="1"/>
  <c r="EL206" i="1"/>
  <c r="EM206" i="1"/>
  <c r="EL207" i="1"/>
  <c r="EM207" i="1"/>
  <c r="EL208" i="1"/>
  <c r="EM208" i="1"/>
  <c r="EL209" i="1"/>
  <c r="EM209" i="1"/>
  <c r="EL210" i="1"/>
  <c r="EM210" i="1"/>
  <c r="EL211" i="1"/>
  <c r="EM211" i="1"/>
  <c r="EL212" i="1"/>
  <c r="EM212" i="1"/>
  <c r="EL213" i="1"/>
  <c r="EM213" i="1"/>
  <c r="EL214" i="1"/>
  <c r="EM214" i="1"/>
  <c r="EL215" i="1"/>
  <c r="EM215" i="1"/>
  <c r="EL216" i="1"/>
  <c r="EM216" i="1"/>
  <c r="EL217" i="1"/>
  <c r="EM217" i="1"/>
  <c r="EL218" i="1"/>
  <c r="EM218" i="1"/>
  <c r="EL219" i="1"/>
  <c r="EM219" i="1"/>
  <c r="EL220" i="1"/>
  <c r="EM220" i="1"/>
  <c r="EL221" i="1"/>
  <c r="EM221" i="1"/>
  <c r="EL222" i="1"/>
  <c r="EM222" i="1"/>
  <c r="EL223" i="1"/>
  <c r="EM223" i="1"/>
  <c r="EL224" i="1"/>
  <c r="EM224" i="1"/>
  <c r="EL225" i="1"/>
  <c r="EM225" i="1"/>
  <c r="EL226" i="1"/>
  <c r="EM226" i="1"/>
  <c r="EL227" i="1"/>
  <c r="EM227" i="1"/>
  <c r="EL228" i="1"/>
  <c r="EM228" i="1"/>
  <c r="EL229" i="1"/>
  <c r="EM229" i="1"/>
  <c r="EL230" i="1"/>
  <c r="EM230" i="1"/>
  <c r="EL231" i="1"/>
  <c r="EM231" i="1"/>
  <c r="EL232" i="1"/>
  <c r="EM232" i="1"/>
  <c r="EL233" i="1"/>
  <c r="EM233" i="1"/>
  <c r="EL234" i="1"/>
  <c r="EM234" i="1"/>
  <c r="EL235" i="1"/>
  <c r="EM235" i="1"/>
  <c r="EL236" i="1"/>
  <c r="EM236" i="1"/>
  <c r="EL237" i="1"/>
  <c r="EM237" i="1"/>
  <c r="EL238" i="1"/>
  <c r="EM238" i="1"/>
  <c r="EL239" i="1"/>
  <c r="EM239" i="1"/>
  <c r="EL240" i="1"/>
  <c r="EM240" i="1"/>
  <c r="EL241" i="1"/>
  <c r="EM241" i="1"/>
  <c r="EL242" i="1"/>
  <c r="EM242" i="1"/>
  <c r="EL243" i="1"/>
  <c r="EM243" i="1"/>
  <c r="EL244" i="1"/>
  <c r="EM244" i="1"/>
  <c r="EL245" i="1"/>
  <c r="EM245" i="1"/>
  <c r="EL246" i="1"/>
  <c r="EM246" i="1"/>
  <c r="EL247" i="1"/>
  <c r="EM247" i="1"/>
  <c r="EL248" i="1"/>
  <c r="EM248" i="1"/>
  <c r="EL249" i="1"/>
  <c r="EM249" i="1"/>
  <c r="EL250" i="1"/>
  <c r="EM250" i="1"/>
  <c r="EL251" i="1"/>
  <c r="EM251" i="1"/>
  <c r="EL252" i="1"/>
  <c r="EM252" i="1"/>
  <c r="EL253" i="1"/>
  <c r="EM253" i="1"/>
  <c r="EL254" i="1"/>
  <c r="EM254" i="1"/>
  <c r="EL255" i="1"/>
  <c r="EM255" i="1"/>
  <c r="EL256" i="1"/>
  <c r="EM256" i="1"/>
  <c r="EL257" i="1"/>
  <c r="EM257" i="1"/>
  <c r="EL258" i="1"/>
  <c r="EM258" i="1"/>
  <c r="EL259" i="1"/>
  <c r="EM259" i="1"/>
  <c r="EL260" i="1"/>
  <c r="EM260" i="1"/>
  <c r="EL261" i="1"/>
  <c r="EM261" i="1"/>
  <c r="EL262" i="1"/>
  <c r="EM262" i="1"/>
  <c r="EL263" i="1"/>
  <c r="EM263" i="1"/>
  <c r="EL264" i="1"/>
  <c r="EM264" i="1"/>
  <c r="EL265" i="1"/>
  <c r="EM265" i="1"/>
  <c r="EL266" i="1"/>
  <c r="EM266" i="1"/>
  <c r="EL267" i="1"/>
  <c r="EM267" i="1"/>
  <c r="EL268" i="1"/>
  <c r="EM268" i="1"/>
  <c r="EL269" i="1"/>
  <c r="EM269" i="1"/>
  <c r="EL270" i="1"/>
  <c r="EM270" i="1"/>
  <c r="EL271" i="1"/>
  <c r="EM271" i="1"/>
  <c r="EM6" i="1"/>
  <c r="EX6" i="1"/>
  <c r="EF6" i="1"/>
  <c r="EO6" i="1" s="1"/>
  <c r="EF7" i="1"/>
  <c r="EO7" i="1" s="1"/>
  <c r="EF8" i="1"/>
  <c r="EO8" i="1" s="1"/>
  <c r="EF9" i="1"/>
  <c r="EO9" i="1" s="1"/>
  <c r="EF10" i="1"/>
  <c r="EO10" i="1" s="1"/>
  <c r="EF11" i="1"/>
  <c r="EO11" i="1" s="1"/>
  <c r="EF12" i="1"/>
  <c r="EO12" i="1" s="1"/>
  <c r="EF13" i="1"/>
  <c r="EO13" i="1" s="1"/>
  <c r="EF14" i="1"/>
  <c r="EO14" i="1" s="1"/>
  <c r="EF15" i="1"/>
  <c r="EO15" i="1" s="1"/>
  <c r="EF16" i="1"/>
  <c r="EO16" i="1" s="1"/>
  <c r="EF17" i="1"/>
  <c r="EO17" i="1" s="1"/>
  <c r="EF18" i="1"/>
  <c r="EO18" i="1" s="1"/>
  <c r="EF90" i="1"/>
  <c r="EO90" i="1" s="1"/>
  <c r="EF20" i="1"/>
  <c r="EO20" i="1" s="1"/>
  <c r="EF21" i="1"/>
  <c r="EO21" i="1" s="1"/>
  <c r="EF22" i="1"/>
  <c r="EO22" i="1" s="1"/>
  <c r="EF23" i="1"/>
  <c r="EO23" i="1" s="1"/>
  <c r="EF24" i="1"/>
  <c r="EO24" i="1" s="1"/>
  <c r="EF25" i="1"/>
  <c r="EO25" i="1" s="1"/>
  <c r="EF26" i="1"/>
  <c r="EO26" i="1" s="1"/>
  <c r="EF27" i="1"/>
  <c r="EO27" i="1" s="1"/>
  <c r="EF28" i="1"/>
  <c r="EO28" i="1" s="1"/>
  <c r="EF29" i="1"/>
  <c r="EO29" i="1" s="1"/>
  <c r="EF30" i="1"/>
  <c r="EO30" i="1" s="1"/>
  <c r="EF31" i="1"/>
  <c r="EO31" i="1" s="1"/>
  <c r="EF32" i="1"/>
  <c r="EO32" i="1" s="1"/>
  <c r="EF33" i="1"/>
  <c r="EO33" i="1" s="1"/>
  <c r="EF34" i="1"/>
  <c r="EO34" i="1" s="1"/>
  <c r="EF35" i="1"/>
  <c r="EO35" i="1" s="1"/>
  <c r="EF36" i="1"/>
  <c r="EO36" i="1" s="1"/>
  <c r="EF37" i="1"/>
  <c r="EO37" i="1" s="1"/>
  <c r="EF38" i="1"/>
  <c r="EO38" i="1" s="1"/>
  <c r="EF39" i="1"/>
  <c r="EO39" i="1" s="1"/>
  <c r="EF40" i="1"/>
  <c r="EO40" i="1" s="1"/>
  <c r="EF41" i="1"/>
  <c r="EO41" i="1" s="1"/>
  <c r="EF42" i="1"/>
  <c r="EO42" i="1" s="1"/>
  <c r="EF43" i="1"/>
  <c r="EO43" i="1" s="1"/>
  <c r="EF44" i="1"/>
  <c r="EO44" i="1" s="1"/>
  <c r="EF45" i="1"/>
  <c r="EO45" i="1" s="1"/>
  <c r="EF46" i="1"/>
  <c r="EO46" i="1" s="1"/>
  <c r="EF47" i="1"/>
  <c r="EO47" i="1" s="1"/>
  <c r="EF48" i="1"/>
  <c r="EO48" i="1" s="1"/>
  <c r="EF49" i="1"/>
  <c r="EO49" i="1" s="1"/>
  <c r="EF50" i="1"/>
  <c r="EO50" i="1" s="1"/>
  <c r="EF51" i="1"/>
  <c r="EO51" i="1" s="1"/>
  <c r="EF52" i="1"/>
  <c r="EO52" i="1" s="1"/>
  <c r="EF53" i="1"/>
  <c r="EO53" i="1" s="1"/>
  <c r="EF54" i="1"/>
  <c r="EO54" i="1" s="1"/>
  <c r="EF55" i="1"/>
  <c r="EO55" i="1" s="1"/>
  <c r="EF56" i="1"/>
  <c r="EO56" i="1" s="1"/>
  <c r="EF57" i="1"/>
  <c r="EO57" i="1" s="1"/>
  <c r="EF58" i="1"/>
  <c r="EO58" i="1" s="1"/>
  <c r="EF59" i="1"/>
  <c r="EO59" i="1" s="1"/>
  <c r="EF60" i="1"/>
  <c r="EO60" i="1" s="1"/>
  <c r="EF61" i="1"/>
  <c r="EO61" i="1" s="1"/>
  <c r="EF62" i="1"/>
  <c r="EO62" i="1" s="1"/>
  <c r="EF63" i="1"/>
  <c r="EO63" i="1" s="1"/>
  <c r="EF64" i="1"/>
  <c r="EO64" i="1" s="1"/>
  <c r="EF65" i="1"/>
  <c r="EO65" i="1" s="1"/>
  <c r="EF66" i="1"/>
  <c r="EO66" i="1" s="1"/>
  <c r="EF121" i="1"/>
  <c r="EO121" i="1" s="1"/>
  <c r="EF68" i="1"/>
  <c r="EO68" i="1" s="1"/>
  <c r="EF69" i="1"/>
  <c r="EO69" i="1" s="1"/>
  <c r="EF155" i="1"/>
  <c r="EO155" i="1" s="1"/>
  <c r="EF71" i="1"/>
  <c r="EO71" i="1" s="1"/>
  <c r="EF72" i="1"/>
  <c r="EO72" i="1" s="1"/>
  <c r="EF73" i="1"/>
  <c r="EO73" i="1" s="1"/>
  <c r="EF74" i="1"/>
  <c r="EO74" i="1" s="1"/>
  <c r="EF75" i="1"/>
  <c r="EO75" i="1" s="1"/>
  <c r="EF76" i="1"/>
  <c r="EO76" i="1" s="1"/>
  <c r="EF77" i="1"/>
  <c r="EO77" i="1" s="1"/>
  <c r="EF78" i="1"/>
  <c r="EO78" i="1" s="1"/>
  <c r="EF79" i="1"/>
  <c r="EO79" i="1" s="1"/>
  <c r="EF80" i="1"/>
  <c r="EO80" i="1" s="1"/>
  <c r="EF81" i="1"/>
  <c r="EO81" i="1" s="1"/>
  <c r="EF82" i="1"/>
  <c r="EO82" i="1" s="1"/>
  <c r="EF83" i="1"/>
  <c r="EO83" i="1" s="1"/>
  <c r="EF84" i="1"/>
  <c r="EO84" i="1" s="1"/>
  <c r="EF85" i="1"/>
  <c r="EO85" i="1" s="1"/>
  <c r="EF86" i="1"/>
  <c r="EO86" i="1" s="1"/>
  <c r="EF87" i="1"/>
  <c r="EO87" i="1" s="1"/>
  <c r="EF88" i="1"/>
  <c r="EO88" i="1" s="1"/>
  <c r="EF114" i="1"/>
  <c r="EO114" i="1" s="1"/>
  <c r="EF186" i="1"/>
  <c r="EO186" i="1" s="1"/>
  <c r="EF91" i="1"/>
  <c r="EO91" i="1" s="1"/>
  <c r="EF92" i="1"/>
  <c r="EO92" i="1" s="1"/>
  <c r="EF93" i="1"/>
  <c r="EO93" i="1" s="1"/>
  <c r="EF94" i="1"/>
  <c r="EO94" i="1" s="1"/>
  <c r="EF95" i="1"/>
  <c r="EO95" i="1" s="1"/>
  <c r="EF96" i="1"/>
  <c r="EO96" i="1" s="1"/>
  <c r="EF97" i="1"/>
  <c r="EO97" i="1" s="1"/>
  <c r="EF98" i="1"/>
  <c r="EO98" i="1" s="1"/>
  <c r="EF99" i="1"/>
  <c r="EO99" i="1" s="1"/>
  <c r="EF100" i="1"/>
  <c r="EO100" i="1" s="1"/>
  <c r="EF101" i="1"/>
  <c r="EO101" i="1" s="1"/>
  <c r="EF102" i="1"/>
  <c r="EO102" i="1" s="1"/>
  <c r="EF103" i="1"/>
  <c r="EO103" i="1" s="1"/>
  <c r="EF104" i="1"/>
  <c r="EO104" i="1" s="1"/>
  <c r="EF105" i="1"/>
  <c r="EO105" i="1" s="1"/>
  <c r="EF106" i="1"/>
  <c r="EO106" i="1" s="1"/>
  <c r="EF107" i="1"/>
  <c r="EO107" i="1" s="1"/>
  <c r="EF108" i="1"/>
  <c r="EO108" i="1" s="1"/>
  <c r="EF109" i="1"/>
  <c r="EO109" i="1" s="1"/>
  <c r="EF110" i="1"/>
  <c r="EO110" i="1" s="1"/>
  <c r="EF111" i="1"/>
  <c r="EO111" i="1" s="1"/>
  <c r="EF112" i="1"/>
  <c r="EO112" i="1" s="1"/>
  <c r="EF113" i="1"/>
  <c r="EO113" i="1" s="1"/>
  <c r="EF153" i="1"/>
  <c r="EO153" i="1" s="1"/>
  <c r="EF115" i="1"/>
  <c r="EO115" i="1" s="1"/>
  <c r="EF116" i="1"/>
  <c r="EO116" i="1" s="1"/>
  <c r="EF117" i="1"/>
  <c r="EO117" i="1" s="1"/>
  <c r="EF118" i="1"/>
  <c r="EO118" i="1" s="1"/>
  <c r="EF119" i="1"/>
  <c r="EO119" i="1" s="1"/>
  <c r="EF67" i="1"/>
  <c r="EO67" i="1" s="1"/>
  <c r="EF70" i="1"/>
  <c r="EO70" i="1" s="1"/>
  <c r="EF122" i="1"/>
  <c r="EO122" i="1" s="1"/>
  <c r="EF123" i="1"/>
  <c r="EO123" i="1" s="1"/>
  <c r="EF124" i="1"/>
  <c r="EO124" i="1" s="1"/>
  <c r="EF125" i="1"/>
  <c r="EO125" i="1" s="1"/>
  <c r="EF126" i="1"/>
  <c r="EO126" i="1" s="1"/>
  <c r="EF127" i="1"/>
  <c r="EO127" i="1" s="1"/>
  <c r="EF128" i="1"/>
  <c r="EO128" i="1" s="1"/>
  <c r="EF129" i="1"/>
  <c r="EO129" i="1" s="1"/>
  <c r="EF130" i="1"/>
  <c r="EO130" i="1" s="1"/>
  <c r="EF131" i="1"/>
  <c r="EO131" i="1" s="1"/>
  <c r="EF132" i="1"/>
  <c r="EO132" i="1" s="1"/>
  <c r="EF133" i="1"/>
  <c r="EO133" i="1" s="1"/>
  <c r="EF134" i="1"/>
  <c r="EO134" i="1" s="1"/>
  <c r="EF135" i="1"/>
  <c r="EO135" i="1" s="1"/>
  <c r="EF136" i="1"/>
  <c r="EO136" i="1" s="1"/>
  <c r="EF137" i="1"/>
  <c r="EO137" i="1" s="1"/>
  <c r="EF138" i="1"/>
  <c r="EO138" i="1" s="1"/>
  <c r="EF139" i="1"/>
  <c r="EO139" i="1" s="1"/>
  <c r="EF140" i="1"/>
  <c r="EO140" i="1" s="1"/>
  <c r="EF141" i="1"/>
  <c r="EO141" i="1" s="1"/>
  <c r="EF142" i="1"/>
  <c r="EO142" i="1" s="1"/>
  <c r="EF143" i="1"/>
  <c r="EO143" i="1" s="1"/>
  <c r="EF144" i="1"/>
  <c r="EO144" i="1" s="1"/>
  <c r="EF145" i="1"/>
  <c r="EO145" i="1" s="1"/>
  <c r="EF146" i="1"/>
  <c r="EO146" i="1" s="1"/>
  <c r="EF147" i="1"/>
  <c r="EO147" i="1" s="1"/>
  <c r="EF148" i="1"/>
  <c r="EO148" i="1" s="1"/>
  <c r="EF149" i="1"/>
  <c r="EO149" i="1" s="1"/>
  <c r="EF150" i="1"/>
  <c r="EO150" i="1" s="1"/>
  <c r="EF151" i="1"/>
  <c r="EO151" i="1" s="1"/>
  <c r="EF152" i="1"/>
  <c r="EO152" i="1" s="1"/>
  <c r="EF120" i="1"/>
  <c r="EO120" i="1" s="1"/>
  <c r="EF154" i="1"/>
  <c r="EO154" i="1" s="1"/>
  <c r="EF89" i="1"/>
  <c r="EO89" i="1" s="1"/>
  <c r="EF156" i="1"/>
  <c r="EO156" i="1" s="1"/>
  <c r="EF157" i="1"/>
  <c r="EO157" i="1" s="1"/>
  <c r="EF158" i="1"/>
  <c r="EO158" i="1" s="1"/>
  <c r="EF159" i="1"/>
  <c r="EO159" i="1" s="1"/>
  <c r="EF160" i="1"/>
  <c r="EO160" i="1" s="1"/>
  <c r="EF161" i="1"/>
  <c r="EO161" i="1" s="1"/>
  <c r="EF162" i="1"/>
  <c r="EO162" i="1" s="1"/>
  <c r="EF163" i="1"/>
  <c r="EO163" i="1" s="1"/>
  <c r="EF164" i="1"/>
  <c r="EO164" i="1" s="1"/>
  <c r="EF165" i="1"/>
  <c r="EO165" i="1" s="1"/>
  <c r="EF166" i="1"/>
  <c r="EO166" i="1" s="1"/>
  <c r="EF167" i="1"/>
  <c r="EO167" i="1" s="1"/>
  <c r="EF168" i="1"/>
  <c r="EO168" i="1" s="1"/>
  <c r="EF169" i="1"/>
  <c r="EO169" i="1" s="1"/>
  <c r="EF170" i="1"/>
  <c r="EO170" i="1" s="1"/>
  <c r="EF171" i="1"/>
  <c r="EO171" i="1" s="1"/>
  <c r="EF172" i="1"/>
  <c r="EO172" i="1" s="1"/>
  <c r="EF173" i="1"/>
  <c r="EO173" i="1" s="1"/>
  <c r="EF174" i="1"/>
  <c r="EO174" i="1" s="1"/>
  <c r="EF175" i="1"/>
  <c r="EO175" i="1" s="1"/>
  <c r="EF176" i="1"/>
  <c r="EO176" i="1" s="1"/>
  <c r="EF177" i="1"/>
  <c r="EO177" i="1" s="1"/>
  <c r="EF178" i="1"/>
  <c r="EO178" i="1" s="1"/>
  <c r="EF179" i="1"/>
  <c r="EO179" i="1" s="1"/>
  <c r="EF180" i="1"/>
  <c r="EO180" i="1" s="1"/>
  <c r="EF181" i="1"/>
  <c r="EO181" i="1" s="1"/>
  <c r="EF182" i="1"/>
  <c r="EO182" i="1" s="1"/>
  <c r="EF183" i="1"/>
  <c r="EO183" i="1" s="1"/>
  <c r="EF184" i="1"/>
  <c r="EO184" i="1" s="1"/>
  <c r="EF185" i="1"/>
  <c r="EO185" i="1" s="1"/>
  <c r="EF19" i="1"/>
  <c r="EO19" i="1" s="1"/>
  <c r="EF187" i="1"/>
  <c r="EO187" i="1" s="1"/>
  <c r="EF188" i="1"/>
  <c r="EO188" i="1" s="1"/>
  <c r="EF189" i="1"/>
  <c r="EO189" i="1" s="1"/>
  <c r="EF190" i="1"/>
  <c r="EO190" i="1" s="1"/>
  <c r="EF191" i="1"/>
  <c r="EO191" i="1" s="1"/>
  <c r="EF192" i="1"/>
  <c r="EO192" i="1" s="1"/>
  <c r="EF193" i="1"/>
  <c r="EO193" i="1" s="1"/>
  <c r="EF194" i="1"/>
  <c r="EO194" i="1" s="1"/>
  <c r="EF195" i="1"/>
  <c r="EO195" i="1" s="1"/>
  <c r="EF196" i="1"/>
  <c r="EO196" i="1" s="1"/>
  <c r="EF197" i="1"/>
  <c r="EO197" i="1" s="1"/>
  <c r="EF198" i="1"/>
  <c r="EO198" i="1" s="1"/>
  <c r="EF199" i="1"/>
  <c r="EO199" i="1" s="1"/>
  <c r="EF200" i="1"/>
  <c r="EO200" i="1" s="1"/>
  <c r="EF201" i="1"/>
  <c r="EO201" i="1" s="1"/>
  <c r="EF202" i="1"/>
  <c r="EO202" i="1" s="1"/>
  <c r="EF203" i="1"/>
  <c r="EO203" i="1" s="1"/>
  <c r="EF204" i="1"/>
  <c r="EO204" i="1" s="1"/>
  <c r="EF205" i="1"/>
  <c r="EO205" i="1" s="1"/>
  <c r="EF206" i="1"/>
  <c r="EO206" i="1" s="1"/>
  <c r="EF207" i="1"/>
  <c r="EO207" i="1" s="1"/>
  <c r="EF208" i="1"/>
  <c r="EO208" i="1" s="1"/>
  <c r="EF209" i="1"/>
  <c r="EO209" i="1" s="1"/>
  <c r="EF210" i="1"/>
  <c r="EO210" i="1" s="1"/>
  <c r="EF211" i="1"/>
  <c r="EO211" i="1" s="1"/>
  <c r="EF212" i="1"/>
  <c r="EO212" i="1" s="1"/>
  <c r="EF213" i="1"/>
  <c r="EO213" i="1" s="1"/>
  <c r="EF214" i="1"/>
  <c r="EO214" i="1" s="1"/>
  <c r="EF215" i="1"/>
  <c r="EO215" i="1" s="1"/>
  <c r="EF216" i="1"/>
  <c r="EO216" i="1" s="1"/>
  <c r="EF217" i="1"/>
  <c r="EO217" i="1" s="1"/>
  <c r="EF218" i="1"/>
  <c r="EO218" i="1" s="1"/>
  <c r="EF219" i="1"/>
  <c r="EO219" i="1" s="1"/>
  <c r="EF220" i="1"/>
  <c r="EO220" i="1" s="1"/>
  <c r="EF221" i="1"/>
  <c r="EO221" i="1" s="1"/>
  <c r="EF222" i="1"/>
  <c r="EO222" i="1" s="1"/>
  <c r="EF223" i="1"/>
  <c r="EO223" i="1" s="1"/>
  <c r="EF224" i="1"/>
  <c r="EO224" i="1" s="1"/>
  <c r="EF225" i="1"/>
  <c r="EO225" i="1" s="1"/>
  <c r="EF226" i="1"/>
  <c r="EO226" i="1" s="1"/>
  <c r="EF227" i="1"/>
  <c r="EO227" i="1" s="1"/>
  <c r="EF228" i="1"/>
  <c r="EO228" i="1" s="1"/>
  <c r="EF229" i="1"/>
  <c r="EO229" i="1" s="1"/>
  <c r="EF230" i="1"/>
  <c r="EO230" i="1" s="1"/>
  <c r="EF231" i="1"/>
  <c r="EO231" i="1" s="1"/>
  <c r="EF232" i="1"/>
  <c r="EO232" i="1" s="1"/>
  <c r="EF233" i="1"/>
  <c r="EO233" i="1" s="1"/>
  <c r="EF234" i="1"/>
  <c r="EO234" i="1" s="1"/>
  <c r="EF235" i="1"/>
  <c r="EO235" i="1" s="1"/>
  <c r="EF236" i="1"/>
  <c r="EO236" i="1" s="1"/>
  <c r="EF237" i="1"/>
  <c r="EO237" i="1" s="1"/>
  <c r="EF238" i="1"/>
  <c r="EO238" i="1" s="1"/>
  <c r="EF239" i="1"/>
  <c r="EO239" i="1" s="1"/>
  <c r="EF240" i="1"/>
  <c r="EO240" i="1" s="1"/>
  <c r="EF241" i="1"/>
  <c r="EO241" i="1" s="1"/>
  <c r="EF242" i="1"/>
  <c r="EO242" i="1" s="1"/>
  <c r="EF243" i="1"/>
  <c r="EO243" i="1" s="1"/>
  <c r="EF244" i="1"/>
  <c r="EO244" i="1" s="1"/>
  <c r="EF245" i="1"/>
  <c r="EO245" i="1" s="1"/>
  <c r="EF246" i="1"/>
  <c r="EO246" i="1" s="1"/>
  <c r="EF247" i="1"/>
  <c r="EO247" i="1" s="1"/>
  <c r="EF248" i="1"/>
  <c r="EO248" i="1" s="1"/>
  <c r="EF249" i="1"/>
  <c r="EO249" i="1" s="1"/>
  <c r="EF250" i="1"/>
  <c r="EO250" i="1" s="1"/>
  <c r="EF251" i="1"/>
  <c r="EO251" i="1" s="1"/>
  <c r="EF252" i="1"/>
  <c r="EO252" i="1" s="1"/>
  <c r="EF253" i="1"/>
  <c r="EO253" i="1" s="1"/>
  <c r="EF254" i="1"/>
  <c r="EO254" i="1" s="1"/>
  <c r="EF255" i="1"/>
  <c r="EO255" i="1" s="1"/>
  <c r="EF256" i="1"/>
  <c r="EO256" i="1" s="1"/>
  <c r="EF257" i="1"/>
  <c r="EO257" i="1" s="1"/>
  <c r="EF258" i="1"/>
  <c r="EO258" i="1" s="1"/>
  <c r="EF259" i="1"/>
  <c r="EO259" i="1" s="1"/>
  <c r="EF260" i="1"/>
  <c r="EO260" i="1" s="1"/>
  <c r="EF261" i="1"/>
  <c r="EO261" i="1" s="1"/>
  <c r="EF262" i="1"/>
  <c r="EO262" i="1" s="1"/>
  <c r="EF263" i="1"/>
  <c r="EO263" i="1" s="1"/>
  <c r="EF264" i="1"/>
  <c r="EO264" i="1" s="1"/>
  <c r="EF265" i="1"/>
  <c r="EO265" i="1" s="1"/>
  <c r="EF266" i="1"/>
  <c r="EO266" i="1" s="1"/>
  <c r="EF267" i="1"/>
  <c r="EO267" i="1" s="1"/>
  <c r="EF268" i="1"/>
  <c r="EO268" i="1" s="1"/>
  <c r="EF269" i="1"/>
  <c r="EO269" i="1" s="1"/>
  <c r="EF270" i="1"/>
  <c r="EO270" i="1" s="1"/>
  <c r="EF271" i="1"/>
  <c r="EO271" i="1" s="1"/>
  <c r="EV7" i="1"/>
  <c r="EV8" i="1"/>
  <c r="EV9" i="1"/>
  <c r="EV10" i="1"/>
  <c r="EV11" i="1"/>
  <c r="EV12" i="1"/>
  <c r="EV13" i="1"/>
  <c r="EV14" i="1"/>
  <c r="EV15" i="1"/>
  <c r="EV16" i="1"/>
  <c r="EV17" i="1"/>
  <c r="EV18" i="1"/>
  <c r="EV90" i="1"/>
  <c r="EV20" i="1"/>
  <c r="EV21" i="1"/>
  <c r="EV22" i="1"/>
  <c r="EV23" i="1"/>
  <c r="EV24" i="1"/>
  <c r="EV25" i="1"/>
  <c r="EV26" i="1"/>
  <c r="EV27" i="1"/>
  <c r="EV28" i="1"/>
  <c r="EV29" i="1"/>
  <c r="EV30" i="1"/>
  <c r="EV31" i="1"/>
  <c r="EV32" i="1"/>
  <c r="EV33" i="1"/>
  <c r="EV34" i="1"/>
  <c r="EV35" i="1"/>
  <c r="EV36" i="1"/>
  <c r="EV37" i="1"/>
  <c r="EV38" i="1"/>
  <c r="EV39" i="1"/>
  <c r="EV40" i="1"/>
  <c r="EV41" i="1"/>
  <c r="EV42" i="1"/>
  <c r="EV43" i="1"/>
  <c r="EV44" i="1"/>
  <c r="EV45" i="1"/>
  <c r="EV46" i="1"/>
  <c r="EV47" i="1"/>
  <c r="EV48" i="1"/>
  <c r="EV49" i="1"/>
  <c r="EV50" i="1"/>
  <c r="EV51" i="1"/>
  <c r="EV52" i="1"/>
  <c r="EV53" i="1"/>
  <c r="EV54" i="1"/>
  <c r="EV55" i="1"/>
  <c r="EV56" i="1"/>
  <c r="EV57" i="1"/>
  <c r="EV58" i="1"/>
  <c r="EV59" i="1"/>
  <c r="EV60" i="1"/>
  <c r="EV61" i="1"/>
  <c r="EV62" i="1"/>
  <c r="EV63" i="1"/>
  <c r="EV64" i="1"/>
  <c r="EV65" i="1"/>
  <c r="EV66" i="1"/>
  <c r="EV121" i="1"/>
  <c r="EV68" i="1"/>
  <c r="EV69" i="1"/>
  <c r="EV155" i="1"/>
  <c r="EV71" i="1"/>
  <c r="EV72" i="1"/>
  <c r="EV73" i="1"/>
  <c r="EV74" i="1"/>
  <c r="EV75" i="1"/>
  <c r="EV76" i="1"/>
  <c r="EV77" i="1"/>
  <c r="EV78" i="1"/>
  <c r="EV79" i="1"/>
  <c r="EV80" i="1"/>
  <c r="EV81" i="1"/>
  <c r="EV82" i="1"/>
  <c r="EV83" i="1"/>
  <c r="EV84" i="1"/>
  <c r="EV85" i="1"/>
  <c r="EV86" i="1"/>
  <c r="EV87" i="1"/>
  <c r="EV88" i="1"/>
  <c r="EV114" i="1"/>
  <c r="EV186" i="1"/>
  <c r="EV91" i="1"/>
  <c r="EV92" i="1"/>
  <c r="EV93" i="1"/>
  <c r="EV94" i="1"/>
  <c r="EV95" i="1"/>
  <c r="EV96" i="1"/>
  <c r="EV97" i="1"/>
  <c r="EV98" i="1"/>
  <c r="EV99" i="1"/>
  <c r="EV100" i="1"/>
  <c r="EV101" i="1"/>
  <c r="EV102" i="1"/>
  <c r="EV103" i="1"/>
  <c r="EV104" i="1"/>
  <c r="EV105" i="1"/>
  <c r="EV106" i="1"/>
  <c r="EV107" i="1"/>
  <c r="EV108" i="1"/>
  <c r="EV109" i="1"/>
  <c r="EV110" i="1"/>
  <c r="EV111" i="1"/>
  <c r="EV112" i="1"/>
  <c r="EV113" i="1"/>
  <c r="EV153" i="1"/>
  <c r="EV115" i="1"/>
  <c r="EV116" i="1"/>
  <c r="EV117" i="1"/>
  <c r="EV118" i="1"/>
  <c r="EV119" i="1"/>
  <c r="EV67" i="1"/>
  <c r="EV70" i="1"/>
  <c r="EV122" i="1"/>
  <c r="EV123" i="1"/>
  <c r="EV124" i="1"/>
  <c r="EV125" i="1"/>
  <c r="EV126" i="1"/>
  <c r="EV127" i="1"/>
  <c r="EV128" i="1"/>
  <c r="EV129" i="1"/>
  <c r="EV130" i="1"/>
  <c r="EV131" i="1"/>
  <c r="EV132" i="1"/>
  <c r="EV133" i="1"/>
  <c r="EV134" i="1"/>
  <c r="EV135" i="1"/>
  <c r="EV136" i="1"/>
  <c r="EV137" i="1"/>
  <c r="EV138" i="1"/>
  <c r="EV139" i="1"/>
  <c r="EV140" i="1"/>
  <c r="EV141" i="1"/>
  <c r="EV142" i="1"/>
  <c r="EV143" i="1"/>
  <c r="EV144" i="1"/>
  <c r="EV145" i="1"/>
  <c r="EV146" i="1"/>
  <c r="EV147" i="1"/>
  <c r="EV148" i="1"/>
  <c r="EV149" i="1"/>
  <c r="EV150" i="1"/>
  <c r="EV151" i="1"/>
  <c r="EV152" i="1"/>
  <c r="EV120" i="1"/>
  <c r="EV154" i="1"/>
  <c r="EV89" i="1"/>
  <c r="EV156" i="1"/>
  <c r="EV157" i="1"/>
  <c r="EV158" i="1"/>
  <c r="EV159" i="1"/>
  <c r="EV160" i="1"/>
  <c r="EV161" i="1"/>
  <c r="EV162" i="1"/>
  <c r="EV163" i="1"/>
  <c r="EV164" i="1"/>
  <c r="EV165" i="1"/>
  <c r="EV166" i="1"/>
  <c r="EV167" i="1"/>
  <c r="EV168" i="1"/>
  <c r="EV169" i="1"/>
  <c r="EV170" i="1"/>
  <c r="EV171" i="1"/>
  <c r="EV172" i="1"/>
  <c r="EV173" i="1"/>
  <c r="EV174" i="1"/>
  <c r="EV175" i="1"/>
  <c r="EV176" i="1"/>
  <c r="EV177" i="1"/>
  <c r="EV178" i="1"/>
  <c r="EV179" i="1"/>
  <c r="EV180" i="1"/>
  <c r="EV181" i="1"/>
  <c r="EV182" i="1"/>
  <c r="EV183" i="1"/>
  <c r="EV184" i="1"/>
  <c r="EV185" i="1"/>
  <c r="EV19" i="1"/>
  <c r="EV187" i="1"/>
  <c r="EV188" i="1"/>
  <c r="EV189" i="1"/>
  <c r="EV190" i="1"/>
  <c r="EV191" i="1"/>
  <c r="EV192" i="1"/>
  <c r="EV193" i="1"/>
  <c r="EV194" i="1"/>
  <c r="EV195" i="1"/>
  <c r="EV196" i="1"/>
  <c r="EV197" i="1"/>
  <c r="EV198" i="1"/>
  <c r="EV199" i="1"/>
  <c r="EV200" i="1"/>
  <c r="EV201" i="1"/>
  <c r="EV202" i="1"/>
  <c r="EV203" i="1"/>
  <c r="EV204" i="1"/>
  <c r="EV205" i="1"/>
  <c r="EV206" i="1"/>
  <c r="EV207" i="1"/>
  <c r="EV208" i="1"/>
  <c r="EV209" i="1"/>
  <c r="EV210" i="1"/>
  <c r="EV211" i="1"/>
  <c r="EV212" i="1"/>
  <c r="EV213" i="1"/>
  <c r="EV214" i="1"/>
  <c r="EV215" i="1"/>
  <c r="EV216" i="1"/>
  <c r="EV217" i="1"/>
  <c r="EV218" i="1"/>
  <c r="EV219" i="1"/>
  <c r="EV220" i="1"/>
  <c r="EV221" i="1"/>
  <c r="EV222" i="1"/>
  <c r="EV223" i="1"/>
  <c r="EV224" i="1"/>
  <c r="EV225" i="1"/>
  <c r="EV226" i="1"/>
  <c r="EV227" i="1"/>
  <c r="EV228" i="1"/>
  <c r="EV229" i="1"/>
  <c r="EV230" i="1"/>
  <c r="EV231" i="1"/>
  <c r="EV232" i="1"/>
  <c r="EV233" i="1"/>
  <c r="EV234" i="1"/>
  <c r="EV235" i="1"/>
  <c r="EV236" i="1"/>
  <c r="EV237" i="1"/>
  <c r="EV238" i="1"/>
  <c r="EV239" i="1"/>
  <c r="EV240" i="1"/>
  <c r="EV241" i="1"/>
  <c r="EV242" i="1"/>
  <c r="EV243" i="1"/>
  <c r="EV244" i="1"/>
  <c r="EV245" i="1"/>
  <c r="EV246" i="1"/>
  <c r="EV247" i="1"/>
  <c r="EV248" i="1"/>
  <c r="EV249" i="1"/>
  <c r="EV250" i="1"/>
  <c r="EV251" i="1"/>
  <c r="EV252" i="1"/>
  <c r="EV253" i="1"/>
  <c r="EV254" i="1"/>
  <c r="EV255" i="1"/>
  <c r="EV256" i="1"/>
  <c r="EV257" i="1"/>
  <c r="EV258" i="1"/>
  <c r="EV259" i="1"/>
  <c r="EV260" i="1"/>
  <c r="EV261" i="1"/>
  <c r="EV262" i="1"/>
  <c r="EV263" i="1"/>
  <c r="EV264" i="1"/>
  <c r="EV265" i="1"/>
  <c r="EV266" i="1"/>
  <c r="EV267" i="1"/>
  <c r="EV268" i="1"/>
  <c r="EV269" i="1"/>
  <c r="EV270" i="1"/>
  <c r="EV271" i="1"/>
  <c r="EP6" i="1"/>
  <c r="EP7" i="1"/>
  <c r="EP8" i="1"/>
  <c r="EP9" i="1"/>
  <c r="EP10" i="1"/>
  <c r="EP11" i="1"/>
  <c r="EP12" i="1"/>
  <c r="EP13" i="1"/>
  <c r="EP14" i="1"/>
  <c r="EP15" i="1"/>
  <c r="EP16" i="1"/>
  <c r="EP17" i="1"/>
  <c r="EP18" i="1"/>
  <c r="EP90" i="1"/>
  <c r="EP20" i="1"/>
  <c r="EP21" i="1"/>
  <c r="EP22" i="1"/>
  <c r="EP23" i="1"/>
  <c r="EP24" i="1"/>
  <c r="EP25" i="1"/>
  <c r="EP26" i="1"/>
  <c r="EP27" i="1"/>
  <c r="EP28" i="1"/>
  <c r="EP29" i="1"/>
  <c r="EP30" i="1"/>
  <c r="EP31" i="1"/>
  <c r="EP32" i="1"/>
  <c r="EP33" i="1"/>
  <c r="EP34" i="1"/>
  <c r="EP35" i="1"/>
  <c r="EP36" i="1"/>
  <c r="EP37" i="1"/>
  <c r="EP38" i="1"/>
  <c r="EP39" i="1"/>
  <c r="EP40" i="1"/>
  <c r="EP41" i="1"/>
  <c r="EP42" i="1"/>
  <c r="EP43" i="1"/>
  <c r="EP44" i="1"/>
  <c r="EP45" i="1"/>
  <c r="EP46" i="1"/>
  <c r="EP47" i="1"/>
  <c r="EP48" i="1"/>
  <c r="EP49" i="1"/>
  <c r="EP50" i="1"/>
  <c r="EP51" i="1"/>
  <c r="EP52" i="1"/>
  <c r="EP53" i="1"/>
  <c r="EP54" i="1"/>
  <c r="EP55" i="1"/>
  <c r="EP56" i="1"/>
  <c r="EP57" i="1"/>
  <c r="EP58" i="1"/>
  <c r="EP59" i="1"/>
  <c r="EP60" i="1"/>
  <c r="EP61" i="1"/>
  <c r="EP62" i="1"/>
  <c r="EP63" i="1"/>
  <c r="EP64" i="1"/>
  <c r="EP65" i="1"/>
  <c r="EP66" i="1"/>
  <c r="EP121" i="1"/>
  <c r="EP68" i="1"/>
  <c r="EP69" i="1"/>
  <c r="EP155" i="1"/>
  <c r="EP71" i="1"/>
  <c r="EP72" i="1"/>
  <c r="EP73" i="1"/>
  <c r="EP74" i="1"/>
  <c r="EP75" i="1"/>
  <c r="EP76" i="1"/>
  <c r="EP77" i="1"/>
  <c r="EP78" i="1"/>
  <c r="EP79" i="1"/>
  <c r="EP80" i="1"/>
  <c r="EP81" i="1"/>
  <c r="EP82" i="1"/>
  <c r="EP83" i="1"/>
  <c r="EP84" i="1"/>
  <c r="EP85" i="1"/>
  <c r="EP86" i="1"/>
  <c r="EP87" i="1"/>
  <c r="EP88" i="1"/>
  <c r="EP114" i="1"/>
  <c r="EP186" i="1"/>
  <c r="EP91" i="1"/>
  <c r="EP92" i="1"/>
  <c r="EP93" i="1"/>
  <c r="EP94" i="1"/>
  <c r="EP95" i="1"/>
  <c r="EP96" i="1"/>
  <c r="EP97" i="1"/>
  <c r="EP98" i="1"/>
  <c r="EP99" i="1"/>
  <c r="EP100" i="1"/>
  <c r="EP101" i="1"/>
  <c r="EP102" i="1"/>
  <c r="EP103" i="1"/>
  <c r="EP104" i="1"/>
  <c r="EP105" i="1"/>
  <c r="EP106" i="1"/>
  <c r="EP107" i="1"/>
  <c r="EP108" i="1"/>
  <c r="EP109" i="1"/>
  <c r="EP110" i="1"/>
  <c r="EP111" i="1"/>
  <c r="EP112" i="1"/>
  <c r="EP113" i="1"/>
  <c r="EP153" i="1"/>
  <c r="EP115" i="1"/>
  <c r="EP116" i="1"/>
  <c r="EP117" i="1"/>
  <c r="EP118" i="1"/>
  <c r="EP119" i="1"/>
  <c r="EP67" i="1"/>
  <c r="EP70" i="1"/>
  <c r="EP122" i="1"/>
  <c r="EP123" i="1"/>
  <c r="EP124" i="1"/>
  <c r="EP125" i="1"/>
  <c r="EP126" i="1"/>
  <c r="EP127" i="1"/>
  <c r="EP128" i="1"/>
  <c r="EP129" i="1"/>
  <c r="EP130" i="1"/>
  <c r="EP131" i="1"/>
  <c r="EP132" i="1"/>
  <c r="EP133" i="1"/>
  <c r="EP134" i="1"/>
  <c r="EP135" i="1"/>
  <c r="EP136" i="1"/>
  <c r="EP137" i="1"/>
  <c r="EP138" i="1"/>
  <c r="EP139" i="1"/>
  <c r="EP140" i="1"/>
  <c r="EP141" i="1"/>
  <c r="EP142" i="1"/>
  <c r="EP143" i="1"/>
  <c r="EP144" i="1"/>
  <c r="EP145" i="1"/>
  <c r="EP146" i="1"/>
  <c r="EP147" i="1"/>
  <c r="EP148" i="1"/>
  <c r="EP149" i="1"/>
  <c r="EP150" i="1"/>
  <c r="EP151" i="1"/>
  <c r="EP152" i="1"/>
  <c r="EP120" i="1"/>
  <c r="EP154" i="1"/>
  <c r="EP89" i="1"/>
  <c r="EP156" i="1"/>
  <c r="EP157" i="1"/>
  <c r="EP158" i="1"/>
  <c r="EP159" i="1"/>
  <c r="EP160" i="1"/>
  <c r="EP161" i="1"/>
  <c r="EP162" i="1"/>
  <c r="EP163" i="1"/>
  <c r="EP164" i="1"/>
  <c r="EP165" i="1"/>
  <c r="EP166" i="1"/>
  <c r="EP167" i="1"/>
  <c r="EP168" i="1"/>
  <c r="EP169" i="1"/>
  <c r="EP170" i="1"/>
  <c r="EP171" i="1"/>
  <c r="EP172" i="1"/>
  <c r="EP173" i="1"/>
  <c r="EP174" i="1"/>
  <c r="EP175" i="1"/>
  <c r="EP176" i="1"/>
  <c r="EP177" i="1"/>
  <c r="EP178" i="1"/>
  <c r="EP179" i="1"/>
  <c r="EP180" i="1"/>
  <c r="EP181" i="1"/>
  <c r="EP182" i="1"/>
  <c r="EP183" i="1"/>
  <c r="EP184" i="1"/>
  <c r="EP185" i="1"/>
  <c r="EP19" i="1"/>
  <c r="EP187" i="1"/>
  <c r="EP188" i="1"/>
  <c r="EP189" i="1"/>
  <c r="EP190" i="1"/>
  <c r="EP191" i="1"/>
  <c r="EP192" i="1"/>
  <c r="EP193" i="1"/>
  <c r="EP194" i="1"/>
  <c r="EP195" i="1"/>
  <c r="EP196" i="1"/>
  <c r="EP197" i="1"/>
  <c r="EP198" i="1"/>
  <c r="EP199" i="1"/>
  <c r="EP200" i="1"/>
  <c r="EP201" i="1"/>
  <c r="EP202" i="1"/>
  <c r="EP203" i="1"/>
  <c r="EP204" i="1"/>
  <c r="EP205" i="1"/>
  <c r="EP206" i="1"/>
  <c r="EP207" i="1"/>
  <c r="EP208" i="1"/>
  <c r="EP209" i="1"/>
  <c r="EP210" i="1"/>
  <c r="EP211" i="1"/>
  <c r="EP212" i="1"/>
  <c r="EP213" i="1"/>
  <c r="EP214" i="1"/>
  <c r="EP215" i="1"/>
  <c r="EP216" i="1"/>
  <c r="EP217" i="1"/>
  <c r="EP218" i="1"/>
  <c r="EP219" i="1"/>
  <c r="EP220" i="1"/>
  <c r="EP221" i="1"/>
  <c r="EP222" i="1"/>
  <c r="EP223" i="1"/>
  <c r="EP224" i="1"/>
  <c r="EP225" i="1"/>
  <c r="EP226" i="1"/>
  <c r="EP227" i="1"/>
  <c r="EP228" i="1"/>
  <c r="EP229" i="1"/>
  <c r="EP230" i="1"/>
  <c r="EP231" i="1"/>
  <c r="EP232" i="1"/>
  <c r="EP233" i="1"/>
  <c r="EP234" i="1"/>
  <c r="EP235" i="1"/>
  <c r="EP236" i="1"/>
  <c r="EP237" i="1"/>
  <c r="EP238" i="1"/>
  <c r="EP239" i="1"/>
  <c r="EP240" i="1"/>
  <c r="EP241" i="1"/>
  <c r="EP242" i="1"/>
  <c r="EP243" i="1"/>
  <c r="EP244" i="1"/>
  <c r="EP245" i="1"/>
  <c r="EP246" i="1"/>
  <c r="EP247" i="1"/>
  <c r="EP248" i="1"/>
  <c r="EP249" i="1"/>
  <c r="EP250" i="1"/>
  <c r="EP251" i="1"/>
  <c r="EP252" i="1"/>
  <c r="EP253" i="1"/>
  <c r="EP254" i="1"/>
  <c r="EP255" i="1"/>
  <c r="EP256" i="1"/>
  <c r="EP257" i="1"/>
  <c r="EP258" i="1"/>
  <c r="EP259" i="1"/>
  <c r="EP260" i="1"/>
  <c r="EP261" i="1"/>
  <c r="EP262" i="1"/>
  <c r="EP263" i="1"/>
  <c r="EP264" i="1"/>
  <c r="EP265" i="1"/>
  <c r="EP266" i="1"/>
  <c r="EP267" i="1"/>
  <c r="EP268" i="1"/>
  <c r="EP269" i="1"/>
  <c r="EP270" i="1"/>
  <c r="EP271" i="1"/>
  <c r="EY6" i="1"/>
  <c r="EY7" i="1"/>
  <c r="EY8" i="1"/>
  <c r="EY9" i="1"/>
  <c r="EY10" i="1"/>
  <c r="EY11" i="1"/>
  <c r="EY12" i="1"/>
  <c r="EY13" i="1"/>
  <c r="EY14" i="1"/>
  <c r="EY15" i="1"/>
  <c r="EY16" i="1"/>
  <c r="EY17" i="1"/>
  <c r="EY18" i="1"/>
  <c r="EY90" i="1"/>
  <c r="EY20" i="1"/>
  <c r="EY21" i="1"/>
  <c r="EY22" i="1"/>
  <c r="EY23" i="1"/>
  <c r="EY24" i="1"/>
  <c r="EY25" i="1"/>
  <c r="EY26" i="1"/>
  <c r="EY27" i="1"/>
  <c r="EY28" i="1"/>
  <c r="EY29" i="1"/>
  <c r="EY30" i="1"/>
  <c r="EY31" i="1"/>
  <c r="EY32" i="1"/>
  <c r="EY33" i="1"/>
  <c r="EY34" i="1"/>
  <c r="EY35" i="1"/>
  <c r="EY36" i="1"/>
  <c r="EY37" i="1"/>
  <c r="EY38" i="1"/>
  <c r="EY39" i="1"/>
  <c r="EY40" i="1"/>
  <c r="EY41" i="1"/>
  <c r="EY42" i="1"/>
  <c r="EY43" i="1"/>
  <c r="EY44" i="1"/>
  <c r="EY45" i="1"/>
  <c r="EY46" i="1"/>
  <c r="EY47" i="1"/>
  <c r="EY48" i="1"/>
  <c r="EY49" i="1"/>
  <c r="EY50" i="1"/>
  <c r="EY51" i="1"/>
  <c r="EY52" i="1"/>
  <c r="EY53" i="1"/>
  <c r="EY54" i="1"/>
  <c r="EY55" i="1"/>
  <c r="EY56" i="1"/>
  <c r="EY57" i="1"/>
  <c r="EY58" i="1"/>
  <c r="EY59" i="1"/>
  <c r="EY60" i="1"/>
  <c r="EY61" i="1"/>
  <c r="EY62" i="1"/>
  <c r="EY63" i="1"/>
  <c r="EY64" i="1"/>
  <c r="EY65" i="1"/>
  <c r="EY66" i="1"/>
  <c r="EY121" i="1"/>
  <c r="EY68" i="1"/>
  <c r="EY69" i="1"/>
  <c r="EY155" i="1"/>
  <c r="EY71" i="1"/>
  <c r="EY72" i="1"/>
  <c r="EY73" i="1"/>
  <c r="EY74" i="1"/>
  <c r="EY75" i="1"/>
  <c r="EY76" i="1"/>
  <c r="EY77" i="1"/>
  <c r="EY78" i="1"/>
  <c r="EY79" i="1"/>
  <c r="EY80" i="1"/>
  <c r="EY81" i="1"/>
  <c r="EY82" i="1"/>
  <c r="EY83" i="1"/>
  <c r="EY84" i="1"/>
  <c r="EY85" i="1"/>
  <c r="EY86" i="1"/>
  <c r="EY87" i="1"/>
  <c r="EY88" i="1"/>
  <c r="EY114" i="1"/>
  <c r="EY186" i="1"/>
  <c r="EY91" i="1"/>
  <c r="EY92" i="1"/>
  <c r="EY93" i="1"/>
  <c r="EY94" i="1"/>
  <c r="EY95" i="1"/>
  <c r="EY96" i="1"/>
  <c r="EY97" i="1"/>
  <c r="EY98" i="1"/>
  <c r="EY99" i="1"/>
  <c r="EY100" i="1"/>
  <c r="EY101" i="1"/>
  <c r="EY102" i="1"/>
  <c r="EY103" i="1"/>
  <c r="EY104" i="1"/>
  <c r="EY105" i="1"/>
  <c r="EY106" i="1"/>
  <c r="EY107" i="1"/>
  <c r="EY108" i="1"/>
  <c r="EY109" i="1"/>
  <c r="EY110" i="1"/>
  <c r="EY111" i="1"/>
  <c r="EY112" i="1"/>
  <c r="EY113" i="1"/>
  <c r="EY153" i="1"/>
  <c r="EY115" i="1"/>
  <c r="EY116" i="1"/>
  <c r="EY117" i="1"/>
  <c r="EY118" i="1"/>
  <c r="EY119" i="1"/>
  <c r="EY67" i="1"/>
  <c r="EY70" i="1"/>
  <c r="EY122" i="1"/>
  <c r="EY123" i="1"/>
  <c r="EY124" i="1"/>
  <c r="EY125" i="1"/>
  <c r="EY126" i="1"/>
  <c r="EY127" i="1"/>
  <c r="EY128" i="1"/>
  <c r="EY129" i="1"/>
  <c r="EY130" i="1"/>
  <c r="EY131" i="1"/>
  <c r="EY132" i="1"/>
  <c r="EY133" i="1"/>
  <c r="EY134" i="1"/>
  <c r="EY135" i="1"/>
  <c r="EY136" i="1"/>
  <c r="EY137" i="1"/>
  <c r="EY138" i="1"/>
  <c r="EY139" i="1"/>
  <c r="EY140" i="1"/>
  <c r="EY141" i="1"/>
  <c r="EY142" i="1"/>
  <c r="EY143" i="1"/>
  <c r="EY144" i="1"/>
  <c r="EY145" i="1"/>
  <c r="EY146" i="1"/>
  <c r="EY147" i="1"/>
  <c r="EY148" i="1"/>
  <c r="EY149" i="1"/>
  <c r="EY150" i="1"/>
  <c r="EY151" i="1"/>
  <c r="EY152" i="1"/>
  <c r="EY120" i="1"/>
  <c r="EY154" i="1"/>
  <c r="EY89" i="1"/>
  <c r="EY156" i="1"/>
  <c r="EY157" i="1"/>
  <c r="EY158" i="1"/>
  <c r="EY159" i="1"/>
  <c r="EY160" i="1"/>
  <c r="EY161" i="1"/>
  <c r="EY162" i="1"/>
  <c r="EY163" i="1"/>
  <c r="EY164" i="1"/>
  <c r="EY165" i="1"/>
  <c r="EY166" i="1"/>
  <c r="EY167" i="1"/>
  <c r="EY168" i="1"/>
  <c r="EY169" i="1"/>
  <c r="EY170" i="1"/>
  <c r="EY171" i="1"/>
  <c r="EY172" i="1"/>
  <c r="EY173" i="1"/>
  <c r="EY174" i="1"/>
  <c r="EY175" i="1"/>
  <c r="EY176" i="1"/>
  <c r="EY177" i="1"/>
  <c r="EY178" i="1"/>
  <c r="EY179" i="1"/>
  <c r="EY180" i="1"/>
  <c r="EY181" i="1"/>
  <c r="EY182" i="1"/>
  <c r="EY183" i="1"/>
  <c r="EY184" i="1"/>
  <c r="EY185" i="1"/>
  <c r="EY19" i="1"/>
  <c r="EY187" i="1"/>
  <c r="EY188" i="1"/>
  <c r="EY189" i="1"/>
  <c r="EY190" i="1"/>
  <c r="EY191" i="1"/>
  <c r="EY192" i="1"/>
  <c r="EY193" i="1"/>
  <c r="EY194" i="1"/>
  <c r="EY195" i="1"/>
  <c r="EY196" i="1"/>
  <c r="EY197" i="1"/>
  <c r="EY198" i="1"/>
  <c r="EY199" i="1"/>
  <c r="EY200" i="1"/>
  <c r="EY201" i="1"/>
  <c r="EY202" i="1"/>
  <c r="EY203" i="1"/>
  <c r="EY204" i="1"/>
  <c r="EY205" i="1"/>
  <c r="EY206" i="1"/>
  <c r="EY207" i="1"/>
  <c r="EY208" i="1"/>
  <c r="EY209" i="1"/>
  <c r="EY210" i="1"/>
  <c r="EY211" i="1"/>
  <c r="EY212" i="1"/>
  <c r="EY213" i="1"/>
  <c r="EY214" i="1"/>
  <c r="EY215" i="1"/>
  <c r="EY216" i="1"/>
  <c r="EY217" i="1"/>
  <c r="EY218" i="1"/>
  <c r="EY219" i="1"/>
  <c r="EY220" i="1"/>
  <c r="EY221" i="1"/>
  <c r="EY222" i="1"/>
  <c r="EY223" i="1"/>
  <c r="EY224" i="1"/>
  <c r="EY225" i="1"/>
  <c r="EY226" i="1"/>
  <c r="EY227" i="1"/>
  <c r="EY228" i="1"/>
  <c r="EY229" i="1"/>
  <c r="EY230" i="1"/>
  <c r="EY231" i="1"/>
  <c r="EY232" i="1"/>
  <c r="EY233" i="1"/>
  <c r="EY234" i="1"/>
  <c r="EY235" i="1"/>
  <c r="EY236" i="1"/>
  <c r="EY237" i="1"/>
  <c r="EY238" i="1"/>
  <c r="EY239" i="1"/>
  <c r="EY240" i="1"/>
  <c r="EY241" i="1"/>
  <c r="EY242" i="1"/>
  <c r="EY243" i="1"/>
  <c r="EY244" i="1"/>
  <c r="EY245" i="1"/>
  <c r="EY246" i="1"/>
  <c r="EY247" i="1"/>
  <c r="EY248" i="1"/>
  <c r="EY249" i="1"/>
  <c r="EY250" i="1"/>
  <c r="EY251" i="1"/>
  <c r="EY252" i="1"/>
  <c r="EY253" i="1"/>
  <c r="EY254" i="1"/>
  <c r="EY255" i="1"/>
  <c r="EY256" i="1"/>
  <c r="EY257" i="1"/>
  <c r="EY258" i="1"/>
  <c r="EY259" i="1"/>
  <c r="EY260" i="1"/>
  <c r="EY261" i="1"/>
  <c r="EY262" i="1"/>
  <c r="EY263" i="1"/>
  <c r="EY264" i="1"/>
  <c r="EY265" i="1"/>
  <c r="EY266" i="1"/>
  <c r="EY267" i="1"/>
  <c r="EY268" i="1"/>
  <c r="EY269" i="1"/>
  <c r="EY270" i="1"/>
  <c r="EY271" i="1"/>
  <c r="EX7" i="1"/>
  <c r="EX8" i="1"/>
  <c r="EX9" i="1"/>
  <c r="EX10" i="1"/>
  <c r="EX11" i="1"/>
  <c r="EX12" i="1"/>
  <c r="EX13" i="1"/>
  <c r="EX14" i="1"/>
  <c r="EX15" i="1"/>
  <c r="EX16" i="1"/>
  <c r="EX17" i="1"/>
  <c r="EX18" i="1"/>
  <c r="EX90" i="1"/>
  <c r="EX20" i="1"/>
  <c r="EX21" i="1"/>
  <c r="EX22" i="1"/>
  <c r="EX23" i="1"/>
  <c r="EX24" i="1"/>
  <c r="EX25" i="1"/>
  <c r="EX26" i="1"/>
  <c r="EX27" i="1"/>
  <c r="EX28" i="1"/>
  <c r="EX29" i="1"/>
  <c r="EX30" i="1"/>
  <c r="EX31" i="1"/>
  <c r="EX32" i="1"/>
  <c r="EX33" i="1"/>
  <c r="EX34" i="1"/>
  <c r="EX35" i="1"/>
  <c r="EX36" i="1"/>
  <c r="EX37" i="1"/>
  <c r="EX38" i="1"/>
  <c r="EX39" i="1"/>
  <c r="EX40" i="1"/>
  <c r="EX41" i="1"/>
  <c r="EX42" i="1"/>
  <c r="EX43" i="1"/>
  <c r="EX44" i="1"/>
  <c r="EX45" i="1"/>
  <c r="EX46" i="1"/>
  <c r="EX47" i="1"/>
  <c r="EX48" i="1"/>
  <c r="EX49" i="1"/>
  <c r="EX50" i="1"/>
  <c r="EX51" i="1"/>
  <c r="EX52" i="1"/>
  <c r="EX53" i="1"/>
  <c r="EX54" i="1"/>
  <c r="EX55" i="1"/>
  <c r="EX56" i="1"/>
  <c r="EX57" i="1"/>
  <c r="EX58" i="1"/>
  <c r="EX59" i="1"/>
  <c r="EX60" i="1"/>
  <c r="EX61" i="1"/>
  <c r="EX62" i="1"/>
  <c r="EX63" i="1"/>
  <c r="EX64" i="1"/>
  <c r="EX65" i="1"/>
  <c r="EX66" i="1"/>
  <c r="EX121" i="1"/>
  <c r="EX68" i="1"/>
  <c r="EX69" i="1"/>
  <c r="EX155" i="1"/>
  <c r="EX71" i="1"/>
  <c r="EX72" i="1"/>
  <c r="EX73" i="1"/>
  <c r="EX74" i="1"/>
  <c r="EX75" i="1"/>
  <c r="EX76" i="1"/>
  <c r="EX77" i="1"/>
  <c r="EX78" i="1"/>
  <c r="EX79" i="1"/>
  <c r="EX80" i="1"/>
  <c r="EX81" i="1"/>
  <c r="EX82" i="1"/>
  <c r="EX83" i="1"/>
  <c r="EX84" i="1"/>
  <c r="EX85" i="1"/>
  <c r="EX86" i="1"/>
  <c r="EX87" i="1"/>
  <c r="EX88" i="1"/>
  <c r="EX114" i="1"/>
  <c r="EX186" i="1"/>
  <c r="EX91" i="1"/>
  <c r="EX92" i="1"/>
  <c r="EX93" i="1"/>
  <c r="EX94" i="1"/>
  <c r="EX95" i="1"/>
  <c r="EX96" i="1"/>
  <c r="EX97" i="1"/>
  <c r="EX98" i="1"/>
  <c r="EX99" i="1"/>
  <c r="EX100" i="1"/>
  <c r="EX101" i="1"/>
  <c r="EX102" i="1"/>
  <c r="EX103" i="1"/>
  <c r="EX104" i="1"/>
  <c r="EX105" i="1"/>
  <c r="EX106" i="1"/>
  <c r="EX107" i="1"/>
  <c r="EX108" i="1"/>
  <c r="EX109" i="1"/>
  <c r="EX110" i="1"/>
  <c r="EX111" i="1"/>
  <c r="EX112" i="1"/>
  <c r="EX113" i="1"/>
  <c r="EX153" i="1"/>
  <c r="EX115" i="1"/>
  <c r="EX116" i="1"/>
  <c r="EX117" i="1"/>
  <c r="EX118" i="1"/>
  <c r="EX119" i="1"/>
  <c r="EX67" i="1"/>
  <c r="EX70" i="1"/>
  <c r="EX122" i="1"/>
  <c r="EX123" i="1"/>
  <c r="EX124" i="1"/>
  <c r="EX125" i="1"/>
  <c r="EX126" i="1"/>
  <c r="EX127" i="1"/>
  <c r="EX128" i="1"/>
  <c r="EX129" i="1"/>
  <c r="EX130" i="1"/>
  <c r="EX131" i="1"/>
  <c r="EX132" i="1"/>
  <c r="EX133" i="1"/>
  <c r="EX134" i="1"/>
  <c r="EX135" i="1"/>
  <c r="EX136" i="1"/>
  <c r="EX137" i="1"/>
  <c r="EX138" i="1"/>
  <c r="EX139" i="1"/>
  <c r="EX140" i="1"/>
  <c r="EX141" i="1"/>
  <c r="EX142" i="1"/>
  <c r="EX143" i="1"/>
  <c r="EX144" i="1"/>
  <c r="EX145" i="1"/>
  <c r="EX146" i="1"/>
  <c r="EX147" i="1"/>
  <c r="EX148" i="1"/>
  <c r="EX149" i="1"/>
  <c r="EX150" i="1"/>
  <c r="EX151" i="1"/>
  <c r="EX152" i="1"/>
  <c r="EX120" i="1"/>
  <c r="EX154" i="1"/>
  <c r="EX89" i="1"/>
  <c r="EX156" i="1"/>
  <c r="EX157" i="1"/>
  <c r="EX158" i="1"/>
  <c r="EX159" i="1"/>
  <c r="EX160" i="1"/>
  <c r="EX161" i="1"/>
  <c r="EX162" i="1"/>
  <c r="EX163" i="1"/>
  <c r="EX164" i="1"/>
  <c r="EX165" i="1"/>
  <c r="EX166" i="1"/>
  <c r="EX167" i="1"/>
  <c r="EX168" i="1"/>
  <c r="EX169" i="1"/>
  <c r="EX170" i="1"/>
  <c r="EX171" i="1"/>
  <c r="EX172" i="1"/>
  <c r="EX173" i="1"/>
  <c r="EX174" i="1"/>
  <c r="EX175" i="1"/>
  <c r="EX176" i="1"/>
  <c r="EX177" i="1"/>
  <c r="EX178" i="1"/>
  <c r="EX179" i="1"/>
  <c r="EX180" i="1"/>
  <c r="EX181" i="1"/>
  <c r="EX182" i="1"/>
  <c r="EX183" i="1"/>
  <c r="EX184" i="1"/>
  <c r="EX185" i="1"/>
  <c r="EX19" i="1"/>
  <c r="EX187" i="1"/>
  <c r="EX188" i="1"/>
  <c r="EX189" i="1"/>
  <c r="EX190" i="1"/>
  <c r="EX191" i="1"/>
  <c r="EX192" i="1"/>
  <c r="EX193" i="1"/>
  <c r="EX194" i="1"/>
  <c r="EX195" i="1"/>
  <c r="EX196" i="1"/>
  <c r="EX197" i="1"/>
  <c r="EX198" i="1"/>
  <c r="EX199" i="1"/>
  <c r="EX200" i="1"/>
  <c r="EX201" i="1"/>
  <c r="EX202" i="1"/>
  <c r="EX203" i="1"/>
  <c r="EX204" i="1"/>
  <c r="EX205" i="1"/>
  <c r="EX206" i="1"/>
  <c r="EX207" i="1"/>
  <c r="EX208" i="1"/>
  <c r="EX209" i="1"/>
  <c r="EX210" i="1"/>
  <c r="EX211" i="1"/>
  <c r="EX212" i="1"/>
  <c r="EX213" i="1"/>
  <c r="EX214" i="1"/>
  <c r="EX215" i="1"/>
  <c r="EX216" i="1"/>
  <c r="EX217" i="1"/>
  <c r="EX218" i="1"/>
  <c r="EX219" i="1"/>
  <c r="EX220" i="1"/>
  <c r="EX221" i="1"/>
  <c r="EX222" i="1"/>
  <c r="EX223" i="1"/>
  <c r="EX224" i="1"/>
  <c r="EX225" i="1"/>
  <c r="EX226" i="1"/>
  <c r="EX227" i="1"/>
  <c r="EX228" i="1"/>
  <c r="EX229" i="1"/>
  <c r="EX230" i="1"/>
  <c r="EX231" i="1"/>
  <c r="EX232" i="1"/>
  <c r="EX233" i="1"/>
  <c r="EX234" i="1"/>
  <c r="EX235" i="1"/>
  <c r="EX236" i="1"/>
  <c r="EX237" i="1"/>
  <c r="EX238" i="1"/>
  <c r="EX239" i="1"/>
  <c r="EX240" i="1"/>
  <c r="EX241" i="1"/>
  <c r="EX242" i="1"/>
  <c r="EX243" i="1"/>
  <c r="EX244" i="1"/>
  <c r="EX245" i="1"/>
  <c r="EX246" i="1"/>
  <c r="EX247" i="1"/>
  <c r="EX248" i="1"/>
  <c r="EX249" i="1"/>
  <c r="EX250" i="1"/>
  <c r="EX251" i="1"/>
  <c r="EX252" i="1"/>
  <c r="EX253" i="1"/>
  <c r="EX254" i="1"/>
  <c r="EX255" i="1"/>
  <c r="EX256" i="1"/>
  <c r="EX257" i="1"/>
  <c r="EX258" i="1"/>
  <c r="EX259" i="1"/>
  <c r="EX260" i="1"/>
  <c r="EX261" i="1"/>
  <c r="EX262" i="1"/>
  <c r="EX263" i="1"/>
  <c r="EX264" i="1"/>
  <c r="EX265" i="1"/>
  <c r="EX266" i="1"/>
  <c r="EX267" i="1"/>
  <c r="EX268" i="1"/>
  <c r="EX269" i="1"/>
  <c r="EX270" i="1"/>
  <c r="EX271" i="1"/>
  <c r="EE7" i="1" a="1"/>
  <c r="EE7" i="1" s="1"/>
  <c r="EE8" i="1" a="1"/>
  <c r="EE8" i="1" s="1"/>
  <c r="EE9" i="1" a="1"/>
  <c r="EE9" i="1" s="1"/>
  <c r="EE10" i="1" a="1"/>
  <c r="EE10" i="1" s="1"/>
  <c r="EE11" i="1" a="1"/>
  <c r="EE11" i="1" s="1"/>
  <c r="EE12" i="1" a="1"/>
  <c r="EE12" i="1" s="1"/>
  <c r="EE13" i="1" a="1"/>
  <c r="EE13" i="1" s="1"/>
  <c r="EE14" i="1" a="1"/>
  <c r="EE14" i="1" s="1"/>
  <c r="EE15" i="1" a="1"/>
  <c r="EE15" i="1" s="1"/>
  <c r="EE16" i="1" a="1"/>
  <c r="EE16" i="1" s="1"/>
  <c r="EE17" i="1" a="1"/>
  <c r="EE17" i="1" s="1"/>
  <c r="EE18" i="1" a="1"/>
  <c r="EE18" i="1" s="1"/>
  <c r="EE90" i="1" a="1"/>
  <c r="EE90" i="1" s="1"/>
  <c r="EE20" i="1" a="1"/>
  <c r="EE20" i="1" s="1"/>
  <c r="EE21" i="1" a="1"/>
  <c r="EE21" i="1" s="1"/>
  <c r="EE22" i="1" a="1"/>
  <c r="EE22" i="1" s="1"/>
  <c r="EE23" i="1" a="1"/>
  <c r="EE23" i="1" s="1"/>
  <c r="EE24" i="1" a="1"/>
  <c r="EE24" i="1" s="1"/>
  <c r="EE25" i="1" a="1"/>
  <c r="EE25" i="1" s="1"/>
  <c r="EE26" i="1" a="1"/>
  <c r="EE26" i="1" s="1"/>
  <c r="EE27" i="1" a="1"/>
  <c r="EE27" i="1" s="1"/>
  <c r="EE28" i="1" a="1"/>
  <c r="EE28" i="1" s="1"/>
  <c r="EE29" i="1" a="1"/>
  <c r="EE29" i="1" s="1"/>
  <c r="EE30" i="1" a="1"/>
  <c r="EE30" i="1" s="1"/>
  <c r="EE31" i="1" a="1"/>
  <c r="EE31" i="1" s="1"/>
  <c r="EE32" i="1" a="1"/>
  <c r="EE32" i="1" s="1"/>
  <c r="EE33" i="1" a="1"/>
  <c r="EE33" i="1" s="1"/>
  <c r="EE34" i="1" a="1"/>
  <c r="EE34" i="1" s="1"/>
  <c r="EE35" i="1" a="1"/>
  <c r="EE35" i="1" s="1"/>
  <c r="EE36" i="1" a="1"/>
  <c r="EE36" i="1" s="1"/>
  <c r="EE37" i="1" a="1"/>
  <c r="EE37" i="1" s="1"/>
  <c r="EE38" i="1" a="1"/>
  <c r="EE38" i="1" s="1"/>
  <c r="EE39" i="1" a="1"/>
  <c r="EE39" i="1" s="1"/>
  <c r="EE40" i="1" a="1"/>
  <c r="EE40" i="1" s="1"/>
  <c r="EE41" i="1" a="1"/>
  <c r="EE41" i="1" s="1"/>
  <c r="EE42" i="1" a="1"/>
  <c r="EE42" i="1" s="1"/>
  <c r="EE43" i="1" a="1"/>
  <c r="EE43" i="1" s="1"/>
  <c r="EE44" i="1" a="1"/>
  <c r="EE44" i="1" s="1"/>
  <c r="EE45" i="1" a="1"/>
  <c r="EE45" i="1" s="1"/>
  <c r="EE46" i="1" a="1"/>
  <c r="EE46" i="1" s="1"/>
  <c r="EE47" i="1" a="1"/>
  <c r="EE47" i="1" s="1"/>
  <c r="EE48" i="1" a="1"/>
  <c r="EE48" i="1" s="1"/>
  <c r="EE49" i="1" a="1"/>
  <c r="EE49" i="1" s="1"/>
  <c r="EE50" i="1" a="1"/>
  <c r="EE50" i="1" s="1"/>
  <c r="EE51" i="1" a="1"/>
  <c r="EE51" i="1" s="1"/>
  <c r="EE52" i="1" a="1"/>
  <c r="EE52" i="1" s="1"/>
  <c r="EE53" i="1" a="1"/>
  <c r="EE53" i="1" s="1"/>
  <c r="EE54" i="1" a="1"/>
  <c r="EE54" i="1" s="1"/>
  <c r="EE55" i="1" a="1"/>
  <c r="EE55" i="1" s="1"/>
  <c r="EE56" i="1" a="1"/>
  <c r="EE56" i="1" s="1"/>
  <c r="EE57" i="1" a="1"/>
  <c r="EE57" i="1" s="1"/>
  <c r="EE58" i="1" a="1"/>
  <c r="EE58" i="1" s="1"/>
  <c r="EE59" i="1" a="1"/>
  <c r="EE59" i="1" s="1"/>
  <c r="EE60" i="1" a="1"/>
  <c r="EE60" i="1" s="1"/>
  <c r="EE61" i="1" a="1"/>
  <c r="EE61" i="1" s="1"/>
  <c r="EE62" i="1" a="1"/>
  <c r="EE62" i="1" s="1"/>
  <c r="EE63" i="1" a="1"/>
  <c r="EE63" i="1" s="1"/>
  <c r="EE64" i="1" a="1"/>
  <c r="EE64" i="1" s="1"/>
  <c r="EE65" i="1" a="1"/>
  <c r="EE65" i="1" s="1"/>
  <c r="EE66" i="1" a="1"/>
  <c r="EE66" i="1" s="1"/>
  <c r="EE121" i="1" a="1"/>
  <c r="EE121" i="1" s="1"/>
  <c r="EE68" i="1" a="1"/>
  <c r="EE68" i="1" s="1"/>
  <c r="EE69" i="1" a="1"/>
  <c r="EE69" i="1" s="1"/>
  <c r="EE155" i="1" a="1"/>
  <c r="EE155" i="1" s="1"/>
  <c r="EE71" i="1" a="1"/>
  <c r="EE71" i="1" s="1"/>
  <c r="EE72" i="1" a="1"/>
  <c r="EE72" i="1" s="1"/>
  <c r="EE73" i="1" a="1"/>
  <c r="EE73" i="1" s="1"/>
  <c r="EE74" i="1" a="1"/>
  <c r="EE74" i="1" s="1"/>
  <c r="EE75" i="1" a="1"/>
  <c r="EE75" i="1" s="1"/>
  <c r="EE76" i="1" a="1"/>
  <c r="EE76" i="1" s="1"/>
  <c r="EE77" i="1" a="1"/>
  <c r="EE77" i="1" s="1"/>
  <c r="EE78" i="1" a="1"/>
  <c r="EE78" i="1" s="1"/>
  <c r="EE79" i="1" a="1"/>
  <c r="EE79" i="1" s="1"/>
  <c r="EE80" i="1" a="1"/>
  <c r="EE80" i="1" s="1"/>
  <c r="EE81" i="1" a="1"/>
  <c r="EE81" i="1" s="1"/>
  <c r="EE82" i="1" a="1"/>
  <c r="EE82" i="1" s="1"/>
  <c r="EE83" i="1" a="1"/>
  <c r="EE83" i="1" s="1"/>
  <c r="EE84" i="1" a="1"/>
  <c r="EE84" i="1" s="1"/>
  <c r="EE85" i="1" a="1"/>
  <c r="EE85" i="1" s="1"/>
  <c r="EE86" i="1" a="1"/>
  <c r="EE86" i="1" s="1"/>
  <c r="EE87" i="1" a="1"/>
  <c r="EE87" i="1" s="1"/>
  <c r="EE88" i="1" a="1"/>
  <c r="EE88" i="1" s="1"/>
  <c r="EE114" i="1" a="1"/>
  <c r="EE114" i="1" s="1"/>
  <c r="EE186" i="1" a="1"/>
  <c r="EE186" i="1" s="1"/>
  <c r="EE91" i="1" a="1"/>
  <c r="EE91" i="1" s="1"/>
  <c r="EE92" i="1" a="1"/>
  <c r="EE92" i="1" s="1"/>
  <c r="EE93" i="1" a="1"/>
  <c r="EE93" i="1" s="1"/>
  <c r="EE94" i="1" a="1"/>
  <c r="EE94" i="1" s="1"/>
  <c r="EE95" i="1" a="1"/>
  <c r="EE95" i="1" s="1"/>
  <c r="EE96" i="1" a="1"/>
  <c r="EE96" i="1" s="1"/>
  <c r="EE97" i="1" a="1"/>
  <c r="EE97" i="1" s="1"/>
  <c r="EE98" i="1" a="1"/>
  <c r="EE98" i="1" s="1"/>
  <c r="EE99" i="1" a="1"/>
  <c r="EE99" i="1" s="1"/>
  <c r="EE100" i="1" a="1"/>
  <c r="EE100" i="1" s="1"/>
  <c r="EE101" i="1" a="1"/>
  <c r="EE101" i="1" s="1"/>
  <c r="EE102" i="1" a="1"/>
  <c r="EE102" i="1" s="1"/>
  <c r="EE103" i="1" a="1"/>
  <c r="EE103" i="1" s="1"/>
  <c r="EE104" i="1" a="1"/>
  <c r="EE104" i="1" s="1"/>
  <c r="EE105" i="1" a="1"/>
  <c r="EE105" i="1" s="1"/>
  <c r="EE106" i="1" a="1"/>
  <c r="EE106" i="1" s="1"/>
  <c r="EE107" i="1" a="1"/>
  <c r="EE107" i="1" s="1"/>
  <c r="EE108" i="1" a="1"/>
  <c r="EE108" i="1" s="1"/>
  <c r="EE109" i="1" a="1"/>
  <c r="EE109" i="1" s="1"/>
  <c r="EE110" i="1" a="1"/>
  <c r="EE110" i="1" s="1"/>
  <c r="EE111" i="1" a="1"/>
  <c r="EE111" i="1" s="1"/>
  <c r="EE112" i="1" a="1"/>
  <c r="EE112" i="1" s="1"/>
  <c r="EE113" i="1" a="1"/>
  <c r="EE113" i="1" s="1"/>
  <c r="EE153" i="1" a="1"/>
  <c r="EE153" i="1" s="1"/>
  <c r="EE115" i="1" a="1"/>
  <c r="EE115" i="1" s="1"/>
  <c r="EE116" i="1" a="1"/>
  <c r="EE116" i="1" s="1"/>
  <c r="EE117" i="1" a="1"/>
  <c r="EE117" i="1" s="1"/>
  <c r="EE118" i="1" a="1"/>
  <c r="EE118" i="1" s="1"/>
  <c r="EE119" i="1" a="1"/>
  <c r="EE119" i="1" s="1"/>
  <c r="EE67" i="1" a="1"/>
  <c r="EE67" i="1" s="1"/>
  <c r="EE70" i="1" a="1"/>
  <c r="EE70" i="1" s="1"/>
  <c r="EE122" i="1" a="1"/>
  <c r="EE122" i="1" s="1"/>
  <c r="EE123" i="1" a="1"/>
  <c r="EE123" i="1" s="1"/>
  <c r="EE124" i="1" a="1"/>
  <c r="EE124" i="1" s="1"/>
  <c r="EE125" i="1" a="1"/>
  <c r="EE125" i="1" s="1"/>
  <c r="EE126" i="1" a="1"/>
  <c r="EE126" i="1" s="1"/>
  <c r="EE127" i="1" a="1"/>
  <c r="EE127" i="1" s="1"/>
  <c r="EE128" i="1" a="1"/>
  <c r="EE128" i="1" s="1"/>
  <c r="EE129" i="1" a="1"/>
  <c r="EE129" i="1" s="1"/>
  <c r="EE130" i="1" a="1"/>
  <c r="EE130" i="1" s="1"/>
  <c r="EE131" i="1" a="1"/>
  <c r="EE131" i="1" s="1"/>
  <c r="EE132" i="1" a="1"/>
  <c r="EE132" i="1" s="1"/>
  <c r="EE133" i="1" a="1"/>
  <c r="EE133" i="1" s="1"/>
  <c r="EE134" i="1" a="1"/>
  <c r="EE134" i="1" s="1"/>
  <c r="EE135" i="1" a="1"/>
  <c r="EE135" i="1" s="1"/>
  <c r="EE136" i="1" a="1"/>
  <c r="EE136" i="1" s="1"/>
  <c r="EE137" i="1" a="1"/>
  <c r="EE137" i="1" s="1"/>
  <c r="EE138" i="1" a="1"/>
  <c r="EE138" i="1" s="1"/>
  <c r="EE139" i="1" a="1"/>
  <c r="EE139" i="1" s="1"/>
  <c r="EE140" i="1" a="1"/>
  <c r="EE140" i="1" s="1"/>
  <c r="EE141" i="1" a="1"/>
  <c r="EE141" i="1" s="1"/>
  <c r="EE142" i="1" a="1"/>
  <c r="EE142" i="1" s="1"/>
  <c r="EE143" i="1" a="1"/>
  <c r="EE143" i="1" s="1"/>
  <c r="EE144" i="1" a="1"/>
  <c r="EE144" i="1" s="1"/>
  <c r="EE145" i="1" a="1"/>
  <c r="EE145" i="1" s="1"/>
  <c r="EE146" i="1" a="1"/>
  <c r="EE146" i="1" s="1"/>
  <c r="EE147" i="1" a="1"/>
  <c r="EE147" i="1" s="1"/>
  <c r="EE148" i="1" a="1"/>
  <c r="EE148" i="1" s="1"/>
  <c r="EE149" i="1" a="1"/>
  <c r="EE149" i="1" s="1"/>
  <c r="EE150" i="1" a="1"/>
  <c r="EE150" i="1" s="1"/>
  <c r="EE151" i="1" a="1"/>
  <c r="EE151" i="1" s="1"/>
  <c r="EE152" i="1" a="1"/>
  <c r="EE152" i="1" s="1"/>
  <c r="EE120" i="1" a="1"/>
  <c r="EE120" i="1" s="1"/>
  <c r="EE154" i="1" a="1"/>
  <c r="EE154" i="1" s="1"/>
  <c r="EE89" i="1" a="1"/>
  <c r="EE89" i="1" s="1"/>
  <c r="EE156" i="1" a="1"/>
  <c r="EE156" i="1" s="1"/>
  <c r="EE157" i="1" a="1"/>
  <c r="EE157" i="1" s="1"/>
  <c r="EE158" i="1" a="1"/>
  <c r="EE158" i="1" s="1"/>
  <c r="EE159" i="1" a="1"/>
  <c r="EE159" i="1" s="1"/>
  <c r="EE160" i="1" a="1"/>
  <c r="EE160" i="1" s="1"/>
  <c r="EE161" i="1" a="1"/>
  <c r="EE161" i="1" s="1"/>
  <c r="EE162" i="1" a="1"/>
  <c r="EE162" i="1" s="1"/>
  <c r="EE163" i="1" a="1"/>
  <c r="EE163" i="1" s="1"/>
  <c r="EE164" i="1" a="1"/>
  <c r="EE164" i="1" s="1"/>
  <c r="EE165" i="1" a="1"/>
  <c r="EE165" i="1" s="1"/>
  <c r="EE166" i="1" a="1"/>
  <c r="EE166" i="1" s="1"/>
  <c r="EE167" i="1" a="1"/>
  <c r="EE167" i="1" s="1"/>
  <c r="EE168" i="1" a="1"/>
  <c r="EE168" i="1" s="1"/>
  <c r="EE169" i="1" a="1"/>
  <c r="EE169" i="1" s="1"/>
  <c r="EE170" i="1" a="1"/>
  <c r="EE170" i="1" s="1"/>
  <c r="EE171" i="1" a="1"/>
  <c r="EE171" i="1" s="1"/>
  <c r="EE172" i="1" a="1"/>
  <c r="EE172" i="1" s="1"/>
  <c r="EE173" i="1" a="1"/>
  <c r="EE173" i="1" s="1"/>
  <c r="EE174" i="1" a="1"/>
  <c r="EE174" i="1" s="1"/>
  <c r="EE175" i="1" a="1"/>
  <c r="EE175" i="1" s="1"/>
  <c r="EE176" i="1" a="1"/>
  <c r="EE176" i="1" s="1"/>
  <c r="EE177" i="1" a="1"/>
  <c r="EE177" i="1" s="1"/>
  <c r="EE178" i="1" a="1"/>
  <c r="EE178" i="1" s="1"/>
  <c r="EE179" i="1" a="1"/>
  <c r="EE179" i="1" s="1"/>
  <c r="EE180" i="1" a="1"/>
  <c r="EE180" i="1" s="1"/>
  <c r="EE181" i="1" a="1"/>
  <c r="EE181" i="1" s="1"/>
  <c r="EE182" i="1" a="1"/>
  <c r="EE182" i="1" s="1"/>
  <c r="EE183" i="1" a="1"/>
  <c r="EE183" i="1" s="1"/>
  <c r="EE184" i="1" a="1"/>
  <c r="EE184" i="1" s="1"/>
  <c r="EE185" i="1" a="1"/>
  <c r="EE185" i="1" s="1"/>
  <c r="EE19" i="1" a="1"/>
  <c r="EE19" i="1" s="1"/>
  <c r="EE187" i="1" a="1"/>
  <c r="EE187" i="1" s="1"/>
  <c r="EE188" i="1" a="1"/>
  <c r="EE188" i="1" s="1"/>
  <c r="EE189" i="1" a="1"/>
  <c r="EE189" i="1" s="1"/>
  <c r="EE190" i="1" a="1"/>
  <c r="EE190" i="1" s="1"/>
  <c r="EE191" i="1" a="1"/>
  <c r="EE191" i="1" s="1"/>
  <c r="EE192" i="1" a="1"/>
  <c r="EE192" i="1" s="1"/>
  <c r="EE193" i="1" a="1"/>
  <c r="EE193" i="1" s="1"/>
  <c r="EE194" i="1" a="1"/>
  <c r="EE194" i="1" s="1"/>
  <c r="EE195" i="1" a="1"/>
  <c r="EE195" i="1" s="1"/>
  <c r="EE196" i="1" a="1"/>
  <c r="EE196" i="1" s="1"/>
  <c r="EE197" i="1" a="1"/>
  <c r="EE197" i="1" s="1"/>
  <c r="EE198" i="1" a="1"/>
  <c r="EE198" i="1" s="1"/>
  <c r="EE199" i="1" a="1"/>
  <c r="EE199" i="1" s="1"/>
  <c r="EE200" i="1" a="1"/>
  <c r="EE200" i="1" s="1"/>
  <c r="EE201" i="1" a="1"/>
  <c r="EE201" i="1" s="1"/>
  <c r="EE202" i="1" a="1"/>
  <c r="EE202" i="1" s="1"/>
  <c r="EE203" i="1" a="1"/>
  <c r="EE203" i="1" s="1"/>
  <c r="EE204" i="1" a="1"/>
  <c r="EE204" i="1" s="1"/>
  <c r="EE205" i="1" a="1"/>
  <c r="EE205" i="1" s="1"/>
  <c r="EE206" i="1" a="1"/>
  <c r="EE206" i="1" s="1"/>
  <c r="EE207" i="1" a="1"/>
  <c r="EE207" i="1" s="1"/>
  <c r="EE208" i="1" a="1"/>
  <c r="EE208" i="1" s="1"/>
  <c r="EE209" i="1" a="1"/>
  <c r="EE209" i="1" s="1"/>
  <c r="EE210" i="1" a="1"/>
  <c r="EE210" i="1" s="1"/>
  <c r="EE211" i="1" a="1"/>
  <c r="EE211" i="1" s="1"/>
  <c r="EE212" i="1" a="1"/>
  <c r="EE212" i="1" s="1"/>
  <c r="EE213" i="1" a="1"/>
  <c r="EE213" i="1" s="1"/>
  <c r="EE214" i="1" a="1"/>
  <c r="EE214" i="1" s="1"/>
  <c r="EE215" i="1" a="1"/>
  <c r="EE215" i="1" s="1"/>
  <c r="EE216" i="1" a="1"/>
  <c r="EE216" i="1" s="1"/>
  <c r="EE217" i="1" a="1"/>
  <c r="EE217" i="1" s="1"/>
  <c r="EE218" i="1" a="1"/>
  <c r="EE218" i="1" s="1"/>
  <c r="EE219" i="1" a="1"/>
  <c r="EE219" i="1" s="1"/>
  <c r="EE220" i="1" a="1"/>
  <c r="EE220" i="1" s="1"/>
  <c r="EE221" i="1" a="1"/>
  <c r="EE221" i="1" s="1"/>
  <c r="EE222" i="1" a="1"/>
  <c r="EE222" i="1" s="1"/>
  <c r="EE223" i="1" a="1"/>
  <c r="EE223" i="1" s="1"/>
  <c r="EE224" i="1" a="1"/>
  <c r="EE224" i="1" s="1"/>
  <c r="EE225" i="1" a="1"/>
  <c r="EE225" i="1" s="1"/>
  <c r="EE226" i="1" a="1"/>
  <c r="EE226" i="1" s="1"/>
  <c r="EE227" i="1" a="1"/>
  <c r="EE227" i="1" s="1"/>
  <c r="EE228" i="1" a="1"/>
  <c r="EE228" i="1" s="1"/>
  <c r="EE229" i="1" a="1"/>
  <c r="EE229" i="1" s="1"/>
  <c r="EE230" i="1" a="1"/>
  <c r="EE230" i="1" s="1"/>
  <c r="EE231" i="1" a="1"/>
  <c r="EE231" i="1" s="1"/>
  <c r="EE232" i="1" a="1"/>
  <c r="EE232" i="1" s="1"/>
  <c r="EE233" i="1" a="1"/>
  <c r="EE233" i="1" s="1"/>
  <c r="EE234" i="1" a="1"/>
  <c r="EE234" i="1" s="1"/>
  <c r="EE235" i="1" a="1"/>
  <c r="EE235" i="1" s="1"/>
  <c r="EE236" i="1" a="1"/>
  <c r="EE236" i="1" s="1"/>
  <c r="EE237" i="1" a="1"/>
  <c r="EE237" i="1" s="1"/>
  <c r="EE238" i="1" a="1"/>
  <c r="EE238" i="1" s="1"/>
  <c r="EE239" i="1" a="1"/>
  <c r="EE239" i="1" s="1"/>
  <c r="EE240" i="1" a="1"/>
  <c r="EE240" i="1" s="1"/>
  <c r="EE241" i="1" a="1"/>
  <c r="EE241" i="1" s="1"/>
  <c r="EE242" i="1" a="1"/>
  <c r="EE242" i="1" s="1"/>
  <c r="EE243" i="1" a="1"/>
  <c r="EE243" i="1" s="1"/>
  <c r="EE244" i="1" a="1"/>
  <c r="EE244" i="1" s="1"/>
  <c r="EE245" i="1" a="1"/>
  <c r="EE245" i="1" s="1"/>
  <c r="EE246" i="1" a="1"/>
  <c r="EE246" i="1" s="1"/>
  <c r="EE247" i="1" a="1"/>
  <c r="EE247" i="1" s="1"/>
  <c r="EE248" i="1" a="1"/>
  <c r="EE248" i="1" s="1"/>
  <c r="EE249" i="1" a="1"/>
  <c r="EE249" i="1" s="1"/>
  <c r="EE250" i="1" a="1"/>
  <c r="EE250" i="1" s="1"/>
  <c r="EE251" i="1" a="1"/>
  <c r="EE251" i="1" s="1"/>
  <c r="EE252" i="1" a="1"/>
  <c r="EE252" i="1" s="1"/>
  <c r="EE253" i="1" a="1"/>
  <c r="EE253" i="1" s="1"/>
  <c r="EE254" i="1" a="1"/>
  <c r="EE254" i="1" s="1"/>
  <c r="EE255" i="1" a="1"/>
  <c r="EE255" i="1" s="1"/>
  <c r="EE256" i="1" a="1"/>
  <c r="EE256" i="1" s="1"/>
  <c r="EE257" i="1" a="1"/>
  <c r="EE257" i="1" s="1"/>
  <c r="EE258" i="1" a="1"/>
  <c r="EE258" i="1" s="1"/>
  <c r="EE259" i="1" a="1"/>
  <c r="EE259" i="1" s="1"/>
  <c r="EE260" i="1" a="1"/>
  <c r="EE260" i="1" s="1"/>
  <c r="EE261" i="1" a="1"/>
  <c r="EE261" i="1" s="1"/>
  <c r="EE262" i="1" a="1"/>
  <c r="EE262" i="1" s="1"/>
  <c r="EE263" i="1" a="1"/>
  <c r="EE263" i="1" s="1"/>
  <c r="EE264" i="1" a="1"/>
  <c r="EE264" i="1" s="1"/>
  <c r="EE265" i="1" a="1"/>
  <c r="EE265" i="1" s="1"/>
  <c r="EE266" i="1" a="1"/>
  <c r="EE266" i="1" s="1"/>
  <c r="EE267" i="1" a="1"/>
  <c r="EE267" i="1" s="1"/>
  <c r="EE268" i="1" a="1"/>
  <c r="EE268" i="1" s="1"/>
  <c r="EE269" i="1" a="1"/>
  <c r="EE269" i="1" s="1"/>
  <c r="EE270" i="1" a="1"/>
  <c r="EE270" i="1" s="1"/>
  <c r="EE271" i="1" a="1"/>
  <c r="EE271" i="1" s="1"/>
  <c r="EE6" i="1" a="1"/>
  <c r="EE6" i="1" s="1"/>
  <c r="EU7" i="1"/>
  <c r="EU8" i="1"/>
  <c r="EU9" i="1"/>
  <c r="EU10" i="1"/>
  <c r="EU11" i="1"/>
  <c r="EU12" i="1"/>
  <c r="EU13" i="1"/>
  <c r="EU14" i="1"/>
  <c r="EU15" i="1"/>
  <c r="EU16" i="1"/>
  <c r="EU17" i="1"/>
  <c r="EU18" i="1"/>
  <c r="EU90" i="1"/>
  <c r="EU20" i="1"/>
  <c r="EU21" i="1"/>
  <c r="EU22" i="1"/>
  <c r="EU23" i="1"/>
  <c r="EU24" i="1"/>
  <c r="EU25" i="1"/>
  <c r="EU26" i="1"/>
  <c r="EU27" i="1"/>
  <c r="EU28" i="1"/>
  <c r="EU29" i="1"/>
  <c r="EU30" i="1"/>
  <c r="EU31" i="1"/>
  <c r="EU32" i="1"/>
  <c r="EU33" i="1"/>
  <c r="EU34" i="1"/>
  <c r="EU35" i="1"/>
  <c r="EU36" i="1"/>
  <c r="EU37" i="1"/>
  <c r="EU38" i="1"/>
  <c r="EU39" i="1"/>
  <c r="EU40" i="1"/>
  <c r="EU41" i="1"/>
  <c r="EU42" i="1"/>
  <c r="EU43" i="1"/>
  <c r="EU44" i="1"/>
  <c r="EU45" i="1"/>
  <c r="EU46" i="1"/>
  <c r="EU47" i="1"/>
  <c r="EU48" i="1"/>
  <c r="EU49" i="1"/>
  <c r="EU50" i="1"/>
  <c r="EU51" i="1"/>
  <c r="EU52" i="1"/>
  <c r="EU53" i="1"/>
  <c r="EU54" i="1"/>
  <c r="EU55" i="1"/>
  <c r="EU56" i="1"/>
  <c r="EU57" i="1"/>
  <c r="EU58" i="1"/>
  <c r="EU59" i="1"/>
  <c r="EU60" i="1"/>
  <c r="EU61" i="1"/>
  <c r="EU62" i="1"/>
  <c r="EU63" i="1"/>
  <c r="EU64" i="1"/>
  <c r="EU65" i="1"/>
  <c r="EU66" i="1"/>
  <c r="EU121" i="1"/>
  <c r="EU68" i="1"/>
  <c r="EU69" i="1"/>
  <c r="EU155" i="1"/>
  <c r="EU71" i="1"/>
  <c r="EU72" i="1"/>
  <c r="EU73" i="1"/>
  <c r="EU74" i="1"/>
  <c r="EU75" i="1"/>
  <c r="EU76" i="1"/>
  <c r="EU77" i="1"/>
  <c r="EU78" i="1"/>
  <c r="EU79" i="1"/>
  <c r="EU80" i="1"/>
  <c r="EU81" i="1"/>
  <c r="EU82" i="1"/>
  <c r="EU83" i="1"/>
  <c r="EU84" i="1"/>
  <c r="EU85" i="1"/>
  <c r="EU86" i="1"/>
  <c r="EU87" i="1"/>
  <c r="EU88" i="1"/>
  <c r="EU114" i="1"/>
  <c r="EU186" i="1"/>
  <c r="EU91" i="1"/>
  <c r="EU92" i="1"/>
  <c r="EU93" i="1"/>
  <c r="EU94" i="1"/>
  <c r="EU95" i="1"/>
  <c r="EU96" i="1"/>
  <c r="EU97" i="1"/>
  <c r="EU98" i="1"/>
  <c r="EU99" i="1"/>
  <c r="EU100" i="1"/>
  <c r="EU101" i="1"/>
  <c r="EU102" i="1"/>
  <c r="EU103" i="1"/>
  <c r="EU104" i="1"/>
  <c r="EU105" i="1"/>
  <c r="EU106" i="1"/>
  <c r="EU107" i="1"/>
  <c r="EU108" i="1"/>
  <c r="EU109" i="1"/>
  <c r="EU110" i="1"/>
  <c r="EU111" i="1"/>
  <c r="EU112" i="1"/>
  <c r="EU113" i="1"/>
  <c r="EU153" i="1"/>
  <c r="EU115" i="1"/>
  <c r="EU116" i="1"/>
  <c r="EU117" i="1"/>
  <c r="EU118" i="1"/>
  <c r="EU119" i="1"/>
  <c r="EU67" i="1"/>
  <c r="EU70" i="1"/>
  <c r="EU122" i="1"/>
  <c r="EU123" i="1"/>
  <c r="EU124" i="1"/>
  <c r="EU125" i="1"/>
  <c r="EU126" i="1"/>
  <c r="EU127" i="1"/>
  <c r="EU128" i="1"/>
  <c r="EU129" i="1"/>
  <c r="EU130" i="1"/>
  <c r="EU131" i="1"/>
  <c r="EU132" i="1"/>
  <c r="EU133" i="1"/>
  <c r="EU134" i="1"/>
  <c r="EU135" i="1"/>
  <c r="EU136" i="1"/>
  <c r="EU137" i="1"/>
  <c r="EU138" i="1"/>
  <c r="EU139" i="1"/>
  <c r="EU140" i="1"/>
  <c r="EU141" i="1"/>
  <c r="EU142" i="1"/>
  <c r="EU143" i="1"/>
  <c r="EU144" i="1"/>
  <c r="EU145" i="1"/>
  <c r="EU146" i="1"/>
  <c r="EU147" i="1"/>
  <c r="EU148" i="1"/>
  <c r="EU149" i="1"/>
  <c r="EU150" i="1"/>
  <c r="EU151" i="1"/>
  <c r="EU152" i="1"/>
  <c r="EU120" i="1"/>
  <c r="EU154" i="1"/>
  <c r="EU89" i="1"/>
  <c r="EU156" i="1"/>
  <c r="EU157" i="1"/>
  <c r="EU158" i="1"/>
  <c r="EU159" i="1"/>
  <c r="EU160" i="1"/>
  <c r="EU161" i="1"/>
  <c r="EU162" i="1"/>
  <c r="EU163" i="1"/>
  <c r="EU164" i="1"/>
  <c r="EU165" i="1"/>
  <c r="EU166" i="1"/>
  <c r="EU167" i="1"/>
  <c r="EU168" i="1"/>
  <c r="EU169" i="1"/>
  <c r="EU170" i="1"/>
  <c r="EU171" i="1"/>
  <c r="EU172" i="1"/>
  <c r="EU173" i="1"/>
  <c r="EU174" i="1"/>
  <c r="EU175" i="1"/>
  <c r="EU176" i="1"/>
  <c r="EU177" i="1"/>
  <c r="EU178" i="1"/>
  <c r="EU179" i="1"/>
  <c r="EU180" i="1"/>
  <c r="EU181" i="1"/>
  <c r="EU182" i="1"/>
  <c r="EU183" i="1"/>
  <c r="EU184" i="1"/>
  <c r="EU185" i="1"/>
  <c r="EU19" i="1"/>
  <c r="EU187" i="1"/>
  <c r="EU188" i="1"/>
  <c r="EU189" i="1"/>
  <c r="EU190" i="1"/>
  <c r="EU191" i="1"/>
  <c r="EU192" i="1"/>
  <c r="EU193" i="1"/>
  <c r="EU194" i="1"/>
  <c r="EU195" i="1"/>
  <c r="EU196" i="1"/>
  <c r="EU197" i="1"/>
  <c r="EU198" i="1"/>
  <c r="EU199" i="1"/>
  <c r="EU200" i="1"/>
  <c r="EU201" i="1"/>
  <c r="EU202" i="1"/>
  <c r="EU203" i="1"/>
  <c r="EU204" i="1"/>
  <c r="EU205" i="1"/>
  <c r="EU206" i="1"/>
  <c r="EU207" i="1"/>
  <c r="EU208" i="1"/>
  <c r="EU209" i="1"/>
  <c r="EU210" i="1"/>
  <c r="EU211" i="1"/>
  <c r="EU212" i="1"/>
  <c r="EU213" i="1"/>
  <c r="EU214" i="1"/>
  <c r="EU215" i="1"/>
  <c r="EU216" i="1"/>
  <c r="EU217" i="1"/>
  <c r="EU218" i="1"/>
  <c r="EU219" i="1"/>
  <c r="EU220" i="1"/>
  <c r="EU221" i="1"/>
  <c r="EU222" i="1"/>
  <c r="EU223" i="1"/>
  <c r="EU224" i="1"/>
  <c r="EU225" i="1"/>
  <c r="EU226" i="1"/>
  <c r="EU227" i="1"/>
  <c r="EU228" i="1"/>
  <c r="EU229" i="1"/>
  <c r="EU230" i="1"/>
  <c r="EU231" i="1"/>
  <c r="EU232" i="1"/>
  <c r="EU233" i="1"/>
  <c r="EU234" i="1"/>
  <c r="EU235" i="1"/>
  <c r="EU236" i="1"/>
  <c r="EU237" i="1"/>
  <c r="EU238" i="1"/>
  <c r="EU239" i="1"/>
  <c r="EU240" i="1"/>
  <c r="EU241" i="1"/>
  <c r="EU242" i="1"/>
  <c r="EU243" i="1"/>
  <c r="EU244" i="1"/>
  <c r="EU245" i="1"/>
  <c r="EU246" i="1"/>
  <c r="EU247" i="1"/>
  <c r="EU248" i="1"/>
  <c r="EU249" i="1"/>
  <c r="EU250" i="1"/>
  <c r="EU251" i="1"/>
  <c r="EU252" i="1"/>
  <c r="EU253" i="1"/>
  <c r="EU254" i="1"/>
  <c r="EU255" i="1"/>
  <c r="EU256" i="1"/>
  <c r="EU257" i="1"/>
  <c r="EU258" i="1"/>
  <c r="EU259" i="1"/>
  <c r="EU260" i="1"/>
  <c r="EU261" i="1"/>
  <c r="EU262" i="1"/>
  <c r="EU263" i="1"/>
  <c r="EU264" i="1"/>
  <c r="EU265" i="1"/>
  <c r="EU266" i="1"/>
  <c r="EU267" i="1"/>
  <c r="EU268" i="1"/>
  <c r="EU269" i="1"/>
  <c r="EU270" i="1"/>
  <c r="EU271" i="1"/>
  <c r="EU6" i="1"/>
  <c r="CP270" i="1" l="1"/>
  <c r="CP6" i="1"/>
  <c r="CP266" i="1"/>
  <c r="CP262" i="1"/>
  <c r="CP258" i="1"/>
  <c r="CP254" i="1"/>
  <c r="CP250" i="1"/>
  <c r="CP246" i="1"/>
  <c r="CP242" i="1"/>
  <c r="CP238" i="1"/>
  <c r="CP234" i="1"/>
  <c r="CP230" i="1"/>
  <c r="CP226" i="1"/>
  <c r="CP222" i="1"/>
  <c r="CP218" i="1"/>
  <c r="CP214" i="1"/>
  <c r="CP210" i="1"/>
  <c r="CP206" i="1"/>
  <c r="CP202" i="1"/>
  <c r="CP198" i="1"/>
  <c r="CP194" i="1"/>
  <c r="CP190" i="1"/>
  <c r="CP186" i="1"/>
  <c r="CP182" i="1"/>
  <c r="CP178" i="1"/>
  <c r="CP174" i="1"/>
  <c r="CP170" i="1"/>
  <c r="CP166" i="1"/>
  <c r="CP162" i="1"/>
  <c r="CP158" i="1"/>
  <c r="CP154" i="1"/>
  <c r="CP150" i="1"/>
  <c r="CP146" i="1"/>
  <c r="CP142" i="1"/>
  <c r="CP138" i="1"/>
  <c r="CP134" i="1"/>
  <c r="CP130" i="1"/>
  <c r="CP126" i="1"/>
  <c r="CP122" i="1"/>
  <c r="CP118" i="1"/>
  <c r="CP114" i="1"/>
  <c r="CP110" i="1"/>
  <c r="CP106" i="1"/>
  <c r="CP102" i="1"/>
  <c r="CP98" i="1"/>
  <c r="CP94" i="1"/>
  <c r="CP90" i="1"/>
  <c r="CP86" i="1"/>
  <c r="CP82" i="1"/>
  <c r="CP78" i="1"/>
  <c r="CP74" i="1"/>
  <c r="CP70" i="1"/>
  <c r="CP66" i="1"/>
  <c r="CP62" i="1"/>
  <c r="CP58" i="1"/>
  <c r="CP54" i="1"/>
  <c r="CP50" i="1"/>
  <c r="CP46" i="1"/>
  <c r="CP42" i="1"/>
  <c r="CP38" i="1"/>
  <c r="CP34" i="1"/>
  <c r="CP30" i="1"/>
  <c r="CP26" i="1"/>
  <c r="CP22" i="1"/>
  <c r="CP18" i="1"/>
  <c r="CP14" i="1"/>
  <c r="CP10" i="1"/>
  <c r="CP271" i="1"/>
  <c r="CP267" i="1"/>
  <c r="CP263" i="1"/>
  <c r="CP259" i="1"/>
  <c r="CP255" i="1"/>
  <c r="CP251" i="1"/>
  <c r="CP247" i="1"/>
  <c r="CP243" i="1"/>
  <c r="CP239" i="1"/>
  <c r="CP235" i="1"/>
  <c r="CP231" i="1"/>
  <c r="CP227" i="1"/>
  <c r="CP223" i="1"/>
  <c r="CP219" i="1"/>
  <c r="CP215" i="1"/>
  <c r="CP211" i="1"/>
  <c r="CP207" i="1"/>
  <c r="CP203" i="1"/>
  <c r="CP199" i="1"/>
  <c r="CP195" i="1"/>
  <c r="CP191" i="1"/>
  <c r="CP187" i="1"/>
  <c r="CP183" i="1"/>
  <c r="CP179" i="1"/>
  <c r="CP175" i="1"/>
  <c r="CP171" i="1"/>
  <c r="CP167" i="1"/>
  <c r="CP163" i="1"/>
  <c r="CP159" i="1"/>
  <c r="CP155" i="1"/>
  <c r="CP151" i="1"/>
  <c r="CP147" i="1"/>
  <c r="CP143" i="1"/>
  <c r="CP139" i="1"/>
  <c r="CP135" i="1"/>
  <c r="CP131" i="1"/>
  <c r="CP127" i="1"/>
  <c r="CP123" i="1"/>
  <c r="CP119" i="1"/>
  <c r="CP115" i="1"/>
  <c r="CP111" i="1"/>
  <c r="CP107" i="1"/>
  <c r="CP103" i="1"/>
  <c r="CP99" i="1"/>
  <c r="CP95" i="1"/>
  <c r="CP91" i="1"/>
  <c r="CP87" i="1"/>
  <c r="CP83" i="1"/>
  <c r="CP79" i="1"/>
  <c r="CP75" i="1"/>
  <c r="CP71" i="1"/>
  <c r="CP67" i="1"/>
  <c r="CP63" i="1"/>
  <c r="CP59" i="1"/>
  <c r="CP55" i="1"/>
  <c r="CP51" i="1"/>
  <c r="CP47" i="1"/>
  <c r="CP43" i="1"/>
  <c r="CP39" i="1"/>
  <c r="CP35" i="1"/>
  <c r="CP31" i="1"/>
  <c r="CP27" i="1"/>
  <c r="CP23" i="1"/>
  <c r="CP19" i="1"/>
  <c r="CP15" i="1"/>
  <c r="CP11" i="1"/>
  <c r="CP7" i="1"/>
  <c r="CP268" i="1"/>
  <c r="CP264" i="1"/>
  <c r="CP260" i="1"/>
  <c r="CP256" i="1"/>
  <c r="CP252" i="1"/>
  <c r="CP248" i="1"/>
  <c r="CP244" i="1"/>
  <c r="CP240" i="1"/>
  <c r="CP236" i="1"/>
  <c r="CP232" i="1"/>
  <c r="CP228" i="1"/>
  <c r="CP224" i="1"/>
  <c r="CP220" i="1"/>
  <c r="CP216" i="1"/>
  <c r="CP212" i="1"/>
  <c r="CP208" i="1"/>
  <c r="CP204" i="1"/>
  <c r="CP200" i="1"/>
  <c r="CP196" i="1"/>
  <c r="CP192" i="1"/>
  <c r="CP188" i="1"/>
  <c r="CP184" i="1"/>
  <c r="CP180" i="1"/>
  <c r="CP176" i="1"/>
  <c r="CP172" i="1"/>
  <c r="CP168" i="1"/>
  <c r="CP164" i="1"/>
  <c r="CP160" i="1"/>
  <c r="CP156" i="1"/>
  <c r="CP152" i="1"/>
  <c r="CP148" i="1"/>
  <c r="CP144" i="1"/>
  <c r="CP140" i="1"/>
  <c r="CP136" i="1"/>
  <c r="CP132" i="1"/>
  <c r="CP128" i="1"/>
  <c r="CP124" i="1"/>
  <c r="CP120" i="1"/>
  <c r="CP116" i="1"/>
  <c r="CP112" i="1"/>
  <c r="CP108" i="1"/>
  <c r="CP104" i="1"/>
  <c r="CP100" i="1"/>
  <c r="CP96" i="1"/>
  <c r="CP92" i="1"/>
  <c r="CP88" i="1"/>
  <c r="CP84" i="1"/>
  <c r="CP80" i="1"/>
  <c r="CP76" i="1"/>
  <c r="CP72" i="1"/>
  <c r="CP68" i="1"/>
  <c r="CP64" i="1"/>
  <c r="CP60" i="1"/>
  <c r="CP56" i="1"/>
  <c r="CP52" i="1"/>
  <c r="CP48" i="1"/>
  <c r="CP44" i="1"/>
  <c r="CP40" i="1"/>
  <c r="CP36" i="1"/>
  <c r="CP32" i="1"/>
  <c r="CP28" i="1"/>
  <c r="CP24" i="1"/>
  <c r="CP20" i="1"/>
  <c r="CP16" i="1"/>
  <c r="CP12" i="1"/>
  <c r="CP8" i="1"/>
  <c r="E86" i="9"/>
  <c r="E182" i="9"/>
  <c r="E66" i="9"/>
  <c r="E205" i="9"/>
  <c r="E2" i="9"/>
  <c r="E176" i="9"/>
  <c r="E128" i="9"/>
  <c r="E120" i="9"/>
  <c r="E151" i="9"/>
  <c r="BP2" i="1"/>
  <c r="BO4" i="1"/>
  <c r="BP4" i="1" s="1"/>
  <c r="CH267" i="1"/>
  <c r="CH263" i="1"/>
  <c r="CH259" i="1"/>
  <c r="CH255" i="1"/>
  <c r="CH251" i="1"/>
  <c r="CH247" i="1"/>
  <c r="CH243" i="1"/>
  <c r="CH239" i="1"/>
  <c r="CH235" i="1"/>
  <c r="CH231" i="1"/>
  <c r="CH223" i="1"/>
  <c r="CH215" i="1"/>
  <c r="CH207" i="1"/>
  <c r="CH199" i="1"/>
  <c r="CH191" i="1"/>
  <c r="CH183" i="1"/>
  <c r="CJ175" i="1"/>
  <c r="CJ171" i="1"/>
  <c r="CH167" i="1"/>
  <c r="CH163" i="1"/>
  <c r="CH155" i="1"/>
  <c r="CH151" i="1"/>
  <c r="CH139" i="1"/>
  <c r="CH135" i="1"/>
  <c r="CH131" i="1"/>
  <c r="CH127" i="1"/>
  <c r="CJ123" i="1"/>
  <c r="CJ119" i="1"/>
  <c r="CH115" i="1"/>
  <c r="CH111" i="1"/>
  <c r="CH87" i="1"/>
  <c r="CH83" i="1"/>
  <c r="CH79" i="1"/>
  <c r="CH71" i="1"/>
  <c r="CH67" i="1"/>
  <c r="CH59" i="1"/>
  <c r="CH51" i="1"/>
  <c r="CH47" i="1"/>
  <c r="CH39" i="1"/>
  <c r="CH31" i="1"/>
  <c r="CH23" i="1"/>
  <c r="CH15" i="1"/>
  <c r="CH11" i="1"/>
  <c r="CH264" i="1"/>
  <c r="CH260" i="1"/>
  <c r="CH256" i="1"/>
  <c r="CH252" i="1"/>
  <c r="CH248" i="1"/>
  <c r="CH244" i="1"/>
  <c r="CH7" i="1"/>
  <c r="CH95" i="1"/>
  <c r="CJ88" i="1"/>
  <c r="CJ84" i="1"/>
  <c r="CJ80" i="1"/>
  <c r="CJ76" i="1"/>
  <c r="CJ68" i="1"/>
  <c r="CJ60" i="1"/>
  <c r="CJ52" i="1"/>
  <c r="CJ48" i="1"/>
  <c r="CJ44" i="1"/>
  <c r="CJ40" i="1"/>
  <c r="CJ32" i="1"/>
  <c r="CJ20" i="1"/>
  <c r="CJ16" i="1"/>
  <c r="CJ12" i="1"/>
  <c r="CH240" i="1"/>
  <c r="CH232" i="1"/>
  <c r="CH228" i="1"/>
  <c r="CH220" i="1"/>
  <c r="CH212" i="1"/>
  <c r="CH204" i="1"/>
  <c r="CH196" i="1"/>
  <c r="CH188" i="1"/>
  <c r="CH180" i="1"/>
  <c r="CJ176" i="1"/>
  <c r="CJ172" i="1"/>
  <c r="CJ168" i="1"/>
  <c r="CJ164" i="1"/>
  <c r="CJ160" i="1"/>
  <c r="CJ152" i="1"/>
  <c r="CJ148" i="1"/>
  <c r="CJ144" i="1"/>
  <c r="CJ136" i="1"/>
  <c r="CJ132" i="1"/>
  <c r="CJ128" i="1"/>
  <c r="CJ120" i="1"/>
  <c r="CJ116" i="1"/>
  <c r="CJ112" i="1"/>
  <c r="CJ104" i="1"/>
  <c r="CJ96" i="1"/>
  <c r="CJ11" i="1"/>
  <c r="CJ8" i="1"/>
  <c r="CJ154" i="1"/>
  <c r="CJ150" i="1"/>
  <c r="CJ146" i="1"/>
  <c r="CJ142" i="1"/>
  <c r="CJ38" i="1"/>
  <c r="CJ34" i="1"/>
  <c r="CJ30" i="1"/>
  <c r="CJ26" i="1"/>
  <c r="CJ10" i="1"/>
  <c r="CJ270" i="1"/>
  <c r="CJ266" i="1"/>
  <c r="CJ258" i="1"/>
  <c r="CJ254" i="1"/>
  <c r="CJ250" i="1"/>
  <c r="CJ242" i="1"/>
  <c r="CJ238" i="1"/>
  <c r="CJ230" i="1"/>
  <c r="CJ222" i="1"/>
  <c r="CJ214" i="1"/>
  <c r="CJ206" i="1"/>
  <c r="CJ198" i="1"/>
  <c r="CJ190" i="1"/>
  <c r="CJ182" i="1"/>
  <c r="CJ170" i="1"/>
  <c r="CJ167" i="1"/>
  <c r="CJ134" i="1"/>
  <c r="CJ130" i="1"/>
  <c r="CJ118" i="1"/>
  <c r="CJ110" i="1"/>
  <c r="CJ106" i="1"/>
  <c r="CJ102" i="1"/>
  <c r="CJ98" i="1"/>
  <c r="CJ74" i="1"/>
  <c r="CJ269" i="1"/>
  <c r="CJ265" i="1"/>
  <c r="CJ261" i="1"/>
  <c r="CJ257" i="1"/>
  <c r="CJ253" i="1"/>
  <c r="CJ249" i="1"/>
  <c r="CJ135" i="1"/>
  <c r="CJ248" i="1"/>
  <c r="CJ245" i="1"/>
  <c r="CJ241" i="1"/>
  <c r="CJ237" i="1"/>
  <c r="CJ233" i="1"/>
  <c r="CJ229" i="1"/>
  <c r="CJ225" i="1"/>
  <c r="CJ221" i="1"/>
  <c r="CJ217" i="1"/>
  <c r="CJ213" i="1"/>
  <c r="CJ209" i="1"/>
  <c r="CJ205" i="1"/>
  <c r="CJ201" i="1"/>
  <c r="CJ197" i="1"/>
  <c r="CJ193" i="1"/>
  <c r="CJ189" i="1"/>
  <c r="CJ185" i="1"/>
  <c r="CJ181" i="1"/>
  <c r="CJ177" i="1"/>
  <c r="CJ173" i="1"/>
  <c r="CJ169" i="1"/>
  <c r="CJ67" i="1"/>
  <c r="CJ162" i="1"/>
  <c r="CJ54" i="1"/>
  <c r="CJ95" i="1"/>
  <c r="CJ158" i="1"/>
  <c r="CJ58" i="1"/>
  <c r="CJ42" i="1"/>
  <c r="CJ264" i="1"/>
  <c r="CJ155" i="1"/>
  <c r="CJ39" i="1"/>
  <c r="CH236" i="1"/>
  <c r="CJ236" i="1"/>
  <c r="CH224" i="1"/>
  <c r="CJ224" i="1"/>
  <c r="CH216" i="1"/>
  <c r="CJ216" i="1"/>
  <c r="CH208" i="1"/>
  <c r="CJ208" i="1"/>
  <c r="CH200" i="1"/>
  <c r="CJ200" i="1"/>
  <c r="CH192" i="1"/>
  <c r="CJ192" i="1"/>
  <c r="CH184" i="1"/>
  <c r="CJ184" i="1"/>
  <c r="CH107" i="1"/>
  <c r="CJ107" i="1"/>
  <c r="CH147" i="1"/>
  <c r="CJ147" i="1"/>
  <c r="CJ46" i="1"/>
  <c r="CH227" i="1"/>
  <c r="CJ227" i="1"/>
  <c r="CH219" i="1"/>
  <c r="CJ219" i="1"/>
  <c r="CH211" i="1"/>
  <c r="CJ211" i="1"/>
  <c r="CH203" i="1"/>
  <c r="CJ203" i="1"/>
  <c r="CH195" i="1"/>
  <c r="CJ195" i="1"/>
  <c r="CH187" i="1"/>
  <c r="CJ187" i="1"/>
  <c r="CH179" i="1"/>
  <c r="CJ179" i="1"/>
  <c r="CH75" i="1"/>
  <c r="CJ75" i="1"/>
  <c r="CH271" i="1"/>
  <c r="CJ271" i="1"/>
  <c r="CH19" i="1"/>
  <c r="CJ19" i="1"/>
  <c r="CH268" i="1"/>
  <c r="CJ268" i="1"/>
  <c r="CH43" i="1"/>
  <c r="CJ43" i="1"/>
  <c r="CJ24" i="1"/>
  <c r="CH24" i="1"/>
  <c r="CJ252" i="1"/>
  <c r="CJ231" i="1"/>
  <c r="CJ228" i="1"/>
  <c r="CJ223" i="1"/>
  <c r="CJ220" i="1"/>
  <c r="CJ215" i="1"/>
  <c r="CJ212" i="1"/>
  <c r="CJ207" i="1"/>
  <c r="CJ204" i="1"/>
  <c r="CJ199" i="1"/>
  <c r="CJ196" i="1"/>
  <c r="CJ191" i="1"/>
  <c r="CJ188" i="1"/>
  <c r="CJ183" i="1"/>
  <c r="CJ180" i="1"/>
  <c r="CJ127" i="1"/>
  <c r="CJ87" i="1"/>
  <c r="CJ59" i="1"/>
  <c r="CH152" i="1"/>
  <c r="CJ115" i="1"/>
  <c r="CJ83" i="1"/>
  <c r="CJ51" i="1"/>
  <c r="CJ23" i="1"/>
  <c r="CJ262" i="1"/>
  <c r="CJ246" i="1"/>
  <c r="CJ234" i="1"/>
  <c r="CJ226" i="1"/>
  <c r="CJ218" i="1"/>
  <c r="CJ210" i="1"/>
  <c r="CJ202" i="1"/>
  <c r="CJ194" i="1"/>
  <c r="CJ186" i="1"/>
  <c r="CJ178" i="1"/>
  <c r="CJ166" i="1"/>
  <c r="CJ138" i="1"/>
  <c r="CJ126" i="1"/>
  <c r="CJ122" i="1"/>
  <c r="CJ114" i="1"/>
  <c r="CJ94" i="1"/>
  <c r="CJ90" i="1"/>
  <c r="CJ82" i="1"/>
  <c r="CJ78" i="1"/>
  <c r="CJ66" i="1"/>
  <c r="CJ62" i="1"/>
  <c r="CJ50" i="1"/>
  <c r="CJ18" i="1"/>
  <c r="CJ14" i="1"/>
  <c r="CH175" i="1"/>
  <c r="CH173" i="1"/>
  <c r="CH171" i="1"/>
  <c r="CH168" i="1"/>
  <c r="CJ139" i="1"/>
  <c r="CJ131" i="1"/>
  <c r="CH119" i="1"/>
  <c r="CH116" i="1"/>
  <c r="CH96" i="1"/>
  <c r="CH84" i="1"/>
  <c r="CH68" i="1"/>
  <c r="CH52" i="1"/>
  <c r="CJ260" i="1"/>
  <c r="CJ244" i="1"/>
  <c r="CJ235" i="1"/>
  <c r="CJ232" i="1"/>
  <c r="CH32" i="1"/>
  <c r="CJ256" i="1"/>
  <c r="CJ240" i="1"/>
  <c r="CJ163" i="1"/>
  <c r="CJ151" i="1"/>
  <c r="CH136" i="1"/>
  <c r="CJ111" i="1"/>
  <c r="CH88" i="1"/>
  <c r="CH76" i="1"/>
  <c r="CH60" i="1"/>
  <c r="CJ47" i="1"/>
  <c r="CJ31" i="1"/>
  <c r="CH12" i="1"/>
  <c r="CJ156" i="1"/>
  <c r="CH156" i="1"/>
  <c r="CJ108" i="1"/>
  <c r="CH108" i="1"/>
  <c r="CJ263" i="1"/>
  <c r="CJ255" i="1"/>
  <c r="CJ247" i="1"/>
  <c r="CJ239" i="1"/>
  <c r="CH166" i="1"/>
  <c r="CJ159" i="1"/>
  <c r="CH159" i="1"/>
  <c r="CJ140" i="1"/>
  <c r="CH140" i="1"/>
  <c r="CJ72" i="1"/>
  <c r="CH72" i="1"/>
  <c r="CH150" i="1"/>
  <c r="CJ143" i="1"/>
  <c r="CH143" i="1"/>
  <c r="CH103" i="1"/>
  <c r="CJ103" i="1"/>
  <c r="CH99" i="1"/>
  <c r="CJ99" i="1"/>
  <c r="CH27" i="1"/>
  <c r="CJ27" i="1"/>
  <c r="CJ267" i="1"/>
  <c r="CJ259" i="1"/>
  <c r="CJ251" i="1"/>
  <c r="CJ243" i="1"/>
  <c r="CH134" i="1"/>
  <c r="CJ70" i="1"/>
  <c r="CJ64" i="1"/>
  <c r="CH64" i="1"/>
  <c r="CH170" i="1"/>
  <c r="CH154" i="1"/>
  <c r="CH138" i="1"/>
  <c r="CJ124" i="1"/>
  <c r="CH124" i="1"/>
  <c r="CH114" i="1"/>
  <c r="CH98" i="1"/>
  <c r="CJ92" i="1"/>
  <c r="CH92" i="1"/>
  <c r="CJ86" i="1"/>
  <c r="CH63" i="1"/>
  <c r="CJ63" i="1"/>
  <c r="CJ36" i="1"/>
  <c r="CH36" i="1"/>
  <c r="CH160" i="1"/>
  <c r="CH158" i="1"/>
  <c r="CH144" i="1"/>
  <c r="CH142" i="1"/>
  <c r="CH130" i="1"/>
  <c r="CH91" i="1"/>
  <c r="CJ91" i="1"/>
  <c r="CH80" i="1"/>
  <c r="CJ56" i="1"/>
  <c r="CH56" i="1"/>
  <c r="CH35" i="1"/>
  <c r="CJ35" i="1"/>
  <c r="CH8" i="1"/>
  <c r="CH164" i="1"/>
  <c r="CH162" i="1"/>
  <c r="CH148" i="1"/>
  <c r="CH146" i="1"/>
  <c r="CH132" i="1"/>
  <c r="CH123" i="1"/>
  <c r="CH120" i="1"/>
  <c r="CH118" i="1"/>
  <c r="CJ100" i="1"/>
  <c r="CH100" i="1"/>
  <c r="CH55" i="1"/>
  <c r="CJ55" i="1"/>
  <c r="CH50" i="1"/>
  <c r="CH44" i="1"/>
  <c r="CH34" i="1"/>
  <c r="CJ28" i="1"/>
  <c r="CH28" i="1"/>
  <c r="CJ22" i="1"/>
  <c r="CH16" i="1"/>
  <c r="CH122" i="1"/>
  <c r="CH82" i="1"/>
  <c r="CJ79" i="1"/>
  <c r="CJ71" i="1"/>
  <c r="CH18" i="1"/>
  <c r="CJ15" i="1"/>
  <c r="CJ7" i="1"/>
  <c r="CH128" i="1"/>
  <c r="CH126" i="1"/>
  <c r="CH112" i="1"/>
  <c r="CH104" i="1"/>
  <c r="CH66" i="1"/>
  <c r="CH48" i="1"/>
  <c r="CH40" i="1"/>
  <c r="CH20" i="1"/>
  <c r="CH270" i="1"/>
  <c r="CH266" i="1"/>
  <c r="CH262" i="1"/>
  <c r="CH258" i="1"/>
  <c r="CH254" i="1"/>
  <c r="CH250" i="1"/>
  <c r="CH246" i="1"/>
  <c r="CH242" i="1"/>
  <c r="CH238" i="1"/>
  <c r="CH234" i="1"/>
  <c r="CH230" i="1"/>
  <c r="CH226" i="1"/>
  <c r="CH222" i="1"/>
  <c r="CH218" i="1"/>
  <c r="CH214" i="1"/>
  <c r="CH210" i="1"/>
  <c r="CH206" i="1"/>
  <c r="CH202" i="1"/>
  <c r="CH198" i="1"/>
  <c r="CH194" i="1"/>
  <c r="CH190" i="1"/>
  <c r="CH186" i="1"/>
  <c r="CH182" i="1"/>
  <c r="CH178" i="1"/>
  <c r="CH102" i="1"/>
  <c r="CH86" i="1"/>
  <c r="CH70" i="1"/>
  <c r="CH54" i="1"/>
  <c r="CH38" i="1"/>
  <c r="CH22" i="1"/>
  <c r="CH106" i="1"/>
  <c r="CH90" i="1"/>
  <c r="CH74" i="1"/>
  <c r="CH58" i="1"/>
  <c r="CH42" i="1"/>
  <c r="CH26" i="1"/>
  <c r="CH10" i="1"/>
  <c r="CH174" i="1"/>
  <c r="CH110" i="1"/>
  <c r="CH94" i="1"/>
  <c r="CH78" i="1"/>
  <c r="CH62" i="1"/>
  <c r="CH46" i="1"/>
  <c r="CH30" i="1"/>
  <c r="CH14" i="1"/>
  <c r="CJ13" i="1"/>
  <c r="CH13" i="1"/>
  <c r="CH269" i="1"/>
  <c r="CH265" i="1"/>
  <c r="CH261" i="1"/>
  <c r="CH257" i="1"/>
  <c r="CH253" i="1"/>
  <c r="CH249" i="1"/>
  <c r="CH245" i="1"/>
  <c r="CH241" i="1"/>
  <c r="CH237" i="1"/>
  <c r="CH233" i="1"/>
  <c r="CH229" i="1"/>
  <c r="CH225" i="1"/>
  <c r="CH221" i="1"/>
  <c r="CH217" i="1"/>
  <c r="CH213" i="1"/>
  <c r="CH209" i="1"/>
  <c r="CH205" i="1"/>
  <c r="CH201" i="1"/>
  <c r="CH197" i="1"/>
  <c r="CH193" i="1"/>
  <c r="CH189" i="1"/>
  <c r="CH185" i="1"/>
  <c r="CH181" i="1"/>
  <c r="CH177" i="1"/>
  <c r="CH172" i="1"/>
  <c r="CH169" i="1"/>
  <c r="CJ165" i="1"/>
  <c r="CH165" i="1"/>
  <c r="CJ161" i="1"/>
  <c r="CH161" i="1"/>
  <c r="CJ157" i="1"/>
  <c r="CH157" i="1"/>
  <c r="CJ153" i="1"/>
  <c r="CH153" i="1"/>
  <c r="CJ149" i="1"/>
  <c r="CH149" i="1"/>
  <c r="CJ145" i="1"/>
  <c r="CH145" i="1"/>
  <c r="CJ141" i="1"/>
  <c r="CH141" i="1"/>
  <c r="CJ137" i="1"/>
  <c r="CH137" i="1"/>
  <c r="CJ133" i="1"/>
  <c r="CH133" i="1"/>
  <c r="CJ129" i="1"/>
  <c r="CH129" i="1"/>
  <c r="CJ125" i="1"/>
  <c r="CH125" i="1"/>
  <c r="CJ121" i="1"/>
  <c r="CH121" i="1"/>
  <c r="CJ117" i="1"/>
  <c r="CH117" i="1"/>
  <c r="CJ113" i="1"/>
  <c r="CH113" i="1"/>
  <c r="CJ97" i="1"/>
  <c r="CH97" i="1"/>
  <c r="CJ81" i="1"/>
  <c r="CH81" i="1"/>
  <c r="CJ65" i="1"/>
  <c r="CH65" i="1"/>
  <c r="CJ49" i="1"/>
  <c r="CH49" i="1"/>
  <c r="CJ33" i="1"/>
  <c r="CH33" i="1"/>
  <c r="CJ17" i="1"/>
  <c r="CH17" i="1"/>
  <c r="CJ109" i="1"/>
  <c r="CH109" i="1"/>
  <c r="CJ77" i="1"/>
  <c r="CH77" i="1"/>
  <c r="CJ45" i="1"/>
  <c r="CH45" i="1"/>
  <c r="CJ101" i="1"/>
  <c r="CH101" i="1"/>
  <c r="CJ85" i="1"/>
  <c r="CH85" i="1"/>
  <c r="CJ69" i="1"/>
  <c r="CH69" i="1"/>
  <c r="CJ53" i="1"/>
  <c r="CH53" i="1"/>
  <c r="CJ37" i="1"/>
  <c r="CH37" i="1"/>
  <c r="CJ21" i="1"/>
  <c r="CH21" i="1"/>
  <c r="CJ93" i="1"/>
  <c r="CH93" i="1"/>
  <c r="CJ61" i="1"/>
  <c r="CH61" i="1"/>
  <c r="CJ29" i="1"/>
  <c r="CH29" i="1"/>
  <c r="CH176" i="1"/>
  <c r="CJ174" i="1"/>
  <c r="CJ105" i="1"/>
  <c r="CH105" i="1"/>
  <c r="CJ89" i="1"/>
  <c r="CH89" i="1"/>
  <c r="CJ73" i="1"/>
  <c r="CH73" i="1"/>
  <c r="CJ57" i="1"/>
  <c r="CH57" i="1"/>
  <c r="CJ41" i="1"/>
  <c r="CH41" i="1"/>
  <c r="CJ25" i="1"/>
  <c r="CH25" i="1"/>
  <c r="CJ9" i="1"/>
  <c r="CH9" i="1"/>
  <c r="BZ209" i="1"/>
  <c r="BZ186" i="1"/>
  <c r="BZ90" i="1"/>
  <c r="BZ70" i="1"/>
  <c r="BZ180" i="1"/>
  <c r="BZ155" i="1"/>
  <c r="BZ6" i="1"/>
  <c r="CH6" i="1"/>
  <c r="DW6" i="1" s="1"/>
  <c r="CJ6" i="1"/>
  <c r="EG209" i="1"/>
  <c r="EI209" i="1" s="1"/>
  <c r="EK209" i="1" s="1"/>
  <c r="EG113" i="1"/>
  <c r="EI113" i="1" s="1"/>
  <c r="EK113" i="1" s="1"/>
  <c r="BS186" i="1" a="1"/>
  <c r="BS186" i="1" s="1"/>
  <c r="EG90" i="1"/>
  <c r="BT7" i="1" a="1"/>
  <c r="BT7" i="1" s="1"/>
  <c r="BT8" i="1" a="1"/>
  <c r="BT8" i="1" s="1"/>
  <c r="BT9" i="1" a="1"/>
  <c r="BT9" i="1" s="1"/>
  <c r="BT10" i="1" a="1"/>
  <c r="BT10" i="1" s="1"/>
  <c r="BT11" i="1" a="1"/>
  <c r="BT11" i="1" s="1"/>
  <c r="BT12" i="1" a="1"/>
  <c r="BT12" i="1" s="1"/>
  <c r="BT13" i="1" a="1"/>
  <c r="BT13" i="1" s="1"/>
  <c r="BT14" i="1" a="1"/>
  <c r="BT14" i="1" s="1"/>
  <c r="BT15" i="1" a="1"/>
  <c r="BT15" i="1" s="1"/>
  <c r="BT16" i="1" a="1"/>
  <c r="BT16" i="1" s="1"/>
  <c r="BT17" i="1" a="1"/>
  <c r="BT17" i="1" s="1"/>
  <c r="BT18" i="1" a="1"/>
  <c r="BT18" i="1" s="1"/>
  <c r="BT90" i="1" a="1"/>
  <c r="BT90" i="1" s="1"/>
  <c r="BT20" i="1" a="1"/>
  <c r="BT20" i="1" s="1"/>
  <c r="BT21" i="1" a="1"/>
  <c r="BT21" i="1" s="1"/>
  <c r="BT22" i="1" a="1"/>
  <c r="BT22" i="1" s="1"/>
  <c r="BT23" i="1" a="1"/>
  <c r="BT23" i="1" s="1"/>
  <c r="BT24" i="1" a="1"/>
  <c r="BT24" i="1" s="1"/>
  <c r="BT25" i="1" a="1"/>
  <c r="BT25" i="1" s="1"/>
  <c r="BT26" i="1" a="1"/>
  <c r="BT26" i="1" s="1"/>
  <c r="BT27" i="1" a="1"/>
  <c r="BT27" i="1" s="1"/>
  <c r="BT28" i="1" a="1"/>
  <c r="BT28" i="1" s="1"/>
  <c r="BT29" i="1" a="1"/>
  <c r="BT29" i="1" s="1"/>
  <c r="BT30" i="1" a="1"/>
  <c r="BT30" i="1" s="1"/>
  <c r="BT31" i="1" a="1"/>
  <c r="BT31" i="1" s="1"/>
  <c r="BT32" i="1" a="1"/>
  <c r="BT32" i="1" s="1"/>
  <c r="BT33" i="1" a="1"/>
  <c r="BT33" i="1" s="1"/>
  <c r="BT34" i="1" a="1"/>
  <c r="BT34" i="1" s="1"/>
  <c r="BT35" i="1" a="1"/>
  <c r="BT35" i="1" s="1"/>
  <c r="BT36" i="1" a="1"/>
  <c r="BT36" i="1" s="1"/>
  <c r="BT37" i="1" a="1"/>
  <c r="BT37" i="1" s="1"/>
  <c r="BT38" i="1" a="1"/>
  <c r="BT38" i="1" s="1"/>
  <c r="BT39" i="1" a="1"/>
  <c r="BT39" i="1" s="1"/>
  <c r="BT40" i="1" a="1"/>
  <c r="BT40" i="1" s="1"/>
  <c r="BT41" i="1" a="1"/>
  <c r="BT41" i="1" s="1"/>
  <c r="BT42" i="1" a="1"/>
  <c r="BT42" i="1" s="1"/>
  <c r="BT43" i="1" a="1"/>
  <c r="BT43" i="1" s="1"/>
  <c r="BT44" i="1" a="1"/>
  <c r="BT44" i="1" s="1"/>
  <c r="BT45" i="1" a="1"/>
  <c r="BT45" i="1" s="1"/>
  <c r="BT46" i="1" a="1"/>
  <c r="BT46" i="1" s="1"/>
  <c r="BT47" i="1" a="1"/>
  <c r="BT47" i="1" s="1"/>
  <c r="BT48" i="1" a="1"/>
  <c r="BT48" i="1" s="1"/>
  <c r="BT49" i="1" a="1"/>
  <c r="BT49" i="1" s="1"/>
  <c r="BT50" i="1" a="1"/>
  <c r="BT50" i="1" s="1"/>
  <c r="BT51" i="1" a="1"/>
  <c r="BT51" i="1" s="1"/>
  <c r="BT52" i="1" a="1"/>
  <c r="BT52" i="1" s="1"/>
  <c r="BT53" i="1" a="1"/>
  <c r="BT53" i="1" s="1"/>
  <c r="BT54" i="1" a="1"/>
  <c r="BT54" i="1" s="1"/>
  <c r="BT55" i="1" a="1"/>
  <c r="BT55" i="1" s="1"/>
  <c r="BT56" i="1" a="1"/>
  <c r="BT56" i="1" s="1"/>
  <c r="BT57" i="1" a="1"/>
  <c r="BT57" i="1" s="1"/>
  <c r="BT58" i="1" a="1"/>
  <c r="BT58" i="1" s="1"/>
  <c r="BT59" i="1" a="1"/>
  <c r="BT59" i="1" s="1"/>
  <c r="BT60" i="1" a="1"/>
  <c r="BT60" i="1" s="1"/>
  <c r="BT61" i="1" a="1"/>
  <c r="BT61" i="1" s="1"/>
  <c r="BT62" i="1" a="1"/>
  <c r="BT62" i="1" s="1"/>
  <c r="BT63" i="1" a="1"/>
  <c r="BT63" i="1" s="1"/>
  <c r="BT64" i="1" a="1"/>
  <c r="BT64" i="1" s="1"/>
  <c r="BT65" i="1" a="1"/>
  <c r="BT65" i="1" s="1"/>
  <c r="BT66" i="1" a="1"/>
  <c r="BT66" i="1" s="1"/>
  <c r="BT121" i="1" a="1"/>
  <c r="BT121" i="1" s="1"/>
  <c r="BT68" i="1" a="1"/>
  <c r="BT68" i="1" s="1"/>
  <c r="BT69" i="1" a="1"/>
  <c r="BT69" i="1" s="1"/>
  <c r="BT155" i="1" a="1"/>
  <c r="BT155" i="1" s="1"/>
  <c r="BT71" i="1" a="1"/>
  <c r="BT71" i="1" s="1"/>
  <c r="BT72" i="1" a="1"/>
  <c r="BT72" i="1" s="1"/>
  <c r="BT73" i="1" a="1"/>
  <c r="BT73" i="1" s="1"/>
  <c r="BT74" i="1" a="1"/>
  <c r="BT74" i="1" s="1"/>
  <c r="BT75" i="1" a="1"/>
  <c r="BT75" i="1" s="1"/>
  <c r="BT76" i="1" a="1"/>
  <c r="BT76" i="1" s="1"/>
  <c r="BT77" i="1" a="1"/>
  <c r="BT77" i="1" s="1"/>
  <c r="BT78" i="1" a="1"/>
  <c r="BT78" i="1" s="1"/>
  <c r="BT79" i="1" a="1"/>
  <c r="BT79" i="1" s="1"/>
  <c r="BT80" i="1" a="1"/>
  <c r="BT80" i="1" s="1"/>
  <c r="BT81" i="1" a="1"/>
  <c r="BT81" i="1" s="1"/>
  <c r="BT82" i="1" a="1"/>
  <c r="BT82" i="1" s="1"/>
  <c r="BT83" i="1" a="1"/>
  <c r="BT83" i="1" s="1"/>
  <c r="BT84" i="1" a="1"/>
  <c r="BT84" i="1" s="1"/>
  <c r="BT85" i="1" a="1"/>
  <c r="BT85" i="1" s="1"/>
  <c r="BT86" i="1" a="1"/>
  <c r="BT86" i="1" s="1"/>
  <c r="BT87" i="1" a="1"/>
  <c r="BT87" i="1" s="1"/>
  <c r="BT88" i="1" a="1"/>
  <c r="BT88" i="1" s="1"/>
  <c r="BT114" i="1" a="1"/>
  <c r="BT114" i="1" s="1"/>
  <c r="BT186" i="1" a="1"/>
  <c r="BT186" i="1" s="1"/>
  <c r="BT91" i="1" a="1"/>
  <c r="BT91" i="1" s="1"/>
  <c r="BT92" i="1" a="1"/>
  <c r="BT92" i="1" s="1"/>
  <c r="BT93" i="1" a="1"/>
  <c r="BT93" i="1" s="1"/>
  <c r="BT94" i="1" a="1"/>
  <c r="BT94" i="1" s="1"/>
  <c r="BT95" i="1" a="1"/>
  <c r="BT95" i="1" s="1"/>
  <c r="BT96" i="1" a="1"/>
  <c r="BT96" i="1" s="1"/>
  <c r="BT97" i="1" a="1"/>
  <c r="BT97" i="1" s="1"/>
  <c r="BT98" i="1" a="1"/>
  <c r="BT98" i="1" s="1"/>
  <c r="BT99" i="1" a="1"/>
  <c r="BT99" i="1" s="1"/>
  <c r="BT100" i="1" a="1"/>
  <c r="BT100" i="1" s="1"/>
  <c r="BT101" i="1" a="1"/>
  <c r="BT101" i="1" s="1"/>
  <c r="BT102" i="1" a="1"/>
  <c r="BT102" i="1" s="1"/>
  <c r="BT103" i="1" a="1"/>
  <c r="BT103" i="1" s="1"/>
  <c r="BT104" i="1" a="1"/>
  <c r="BT104" i="1" s="1"/>
  <c r="BT105" i="1" a="1"/>
  <c r="BT105" i="1" s="1"/>
  <c r="BT106" i="1" a="1"/>
  <c r="BT106" i="1" s="1"/>
  <c r="BT107" i="1" a="1"/>
  <c r="BT107" i="1" s="1"/>
  <c r="BT108" i="1" a="1"/>
  <c r="BT108" i="1" s="1"/>
  <c r="BT109" i="1" a="1"/>
  <c r="BT109" i="1" s="1"/>
  <c r="BT110" i="1" a="1"/>
  <c r="BT110" i="1" s="1"/>
  <c r="BT111" i="1" a="1"/>
  <c r="BT111" i="1" s="1"/>
  <c r="BT112" i="1" a="1"/>
  <c r="BT112" i="1" s="1"/>
  <c r="BT113" i="1" a="1"/>
  <c r="BT113" i="1" s="1"/>
  <c r="BT153" i="1" a="1"/>
  <c r="BT153" i="1" s="1"/>
  <c r="BT115" i="1" a="1"/>
  <c r="BT115" i="1" s="1"/>
  <c r="BT116" i="1" a="1"/>
  <c r="BT116" i="1" s="1"/>
  <c r="BT117" i="1" a="1"/>
  <c r="BT117" i="1" s="1"/>
  <c r="BT118" i="1" a="1"/>
  <c r="BT118" i="1" s="1"/>
  <c r="BT119" i="1" a="1"/>
  <c r="BT119" i="1" s="1"/>
  <c r="BT67" i="1" a="1"/>
  <c r="BT67" i="1" s="1"/>
  <c r="BT70" i="1" a="1"/>
  <c r="BT70" i="1" s="1"/>
  <c r="BT122" i="1" a="1"/>
  <c r="BT122" i="1" s="1"/>
  <c r="BT123" i="1" a="1"/>
  <c r="BT123" i="1" s="1"/>
  <c r="BT124" i="1" a="1"/>
  <c r="BT124" i="1" s="1"/>
  <c r="BT125" i="1" a="1"/>
  <c r="BT125" i="1" s="1"/>
  <c r="BT126" i="1" a="1"/>
  <c r="BT126" i="1" s="1"/>
  <c r="BT127" i="1" a="1"/>
  <c r="BT127" i="1" s="1"/>
  <c r="BT128" i="1" a="1"/>
  <c r="BT128" i="1" s="1"/>
  <c r="BT129" i="1" a="1"/>
  <c r="BT129" i="1" s="1"/>
  <c r="BT130" i="1" a="1"/>
  <c r="BT130" i="1" s="1"/>
  <c r="BT131" i="1" a="1"/>
  <c r="BT131" i="1" s="1"/>
  <c r="BT132" i="1" a="1"/>
  <c r="BT132" i="1" s="1"/>
  <c r="BT133" i="1" a="1"/>
  <c r="BT133" i="1" s="1"/>
  <c r="BT134" i="1" a="1"/>
  <c r="BT134" i="1" s="1"/>
  <c r="BT135" i="1" a="1"/>
  <c r="BT135" i="1" s="1"/>
  <c r="BT136" i="1" a="1"/>
  <c r="BT136" i="1" s="1"/>
  <c r="BT137" i="1" a="1"/>
  <c r="BT137" i="1" s="1"/>
  <c r="BT138" i="1" a="1"/>
  <c r="BT138" i="1" s="1"/>
  <c r="BT139" i="1" a="1"/>
  <c r="BT139" i="1" s="1"/>
  <c r="BT140" i="1" a="1"/>
  <c r="BT140" i="1" s="1"/>
  <c r="BT141" i="1" a="1"/>
  <c r="BT141" i="1" s="1"/>
  <c r="BT142" i="1" a="1"/>
  <c r="BT142" i="1" s="1"/>
  <c r="BT143" i="1" a="1"/>
  <c r="BT143" i="1" s="1"/>
  <c r="BT144" i="1" a="1"/>
  <c r="BT144" i="1" s="1"/>
  <c r="BT145" i="1" a="1"/>
  <c r="BT145" i="1" s="1"/>
  <c r="BT146" i="1" a="1"/>
  <c r="BT146" i="1" s="1"/>
  <c r="BT147" i="1" a="1"/>
  <c r="BT147" i="1" s="1"/>
  <c r="BT148" i="1" a="1"/>
  <c r="BT148" i="1" s="1"/>
  <c r="BT149" i="1" a="1"/>
  <c r="BT149" i="1" s="1"/>
  <c r="BT150" i="1" a="1"/>
  <c r="BT150" i="1" s="1"/>
  <c r="BT151" i="1" a="1"/>
  <c r="BT151" i="1" s="1"/>
  <c r="BT152" i="1" a="1"/>
  <c r="BT152" i="1" s="1"/>
  <c r="BT120" i="1" a="1"/>
  <c r="BT120" i="1" s="1"/>
  <c r="BT154" i="1" a="1"/>
  <c r="BT154" i="1" s="1"/>
  <c r="BT89" i="1" a="1"/>
  <c r="BT89" i="1" s="1"/>
  <c r="BT156" i="1" a="1"/>
  <c r="BT156" i="1" s="1"/>
  <c r="BT157" i="1" a="1"/>
  <c r="BT157" i="1" s="1"/>
  <c r="BT158" i="1" a="1"/>
  <c r="BT158" i="1" s="1"/>
  <c r="BT159" i="1" a="1"/>
  <c r="BT159" i="1" s="1"/>
  <c r="BT160" i="1" a="1"/>
  <c r="BT160" i="1" s="1"/>
  <c r="BT161" i="1" a="1"/>
  <c r="BT161" i="1" s="1"/>
  <c r="BT162" i="1" a="1"/>
  <c r="BT162" i="1" s="1"/>
  <c r="BT163" i="1" a="1"/>
  <c r="BT163" i="1" s="1"/>
  <c r="BT164" i="1" a="1"/>
  <c r="BT164" i="1" s="1"/>
  <c r="BT165" i="1" a="1"/>
  <c r="BT165" i="1" s="1"/>
  <c r="BT166" i="1" a="1"/>
  <c r="BT166" i="1" s="1"/>
  <c r="BT167" i="1" a="1"/>
  <c r="BT167" i="1" s="1"/>
  <c r="BT168" i="1" a="1"/>
  <c r="BT168" i="1" s="1"/>
  <c r="BT169" i="1" a="1"/>
  <c r="BT169" i="1" s="1"/>
  <c r="BT170" i="1" a="1"/>
  <c r="BT170" i="1" s="1"/>
  <c r="BT171" i="1" a="1"/>
  <c r="BT171" i="1" s="1"/>
  <c r="BT172" i="1" a="1"/>
  <c r="BT172" i="1" s="1"/>
  <c r="BT173" i="1" a="1"/>
  <c r="BT173" i="1" s="1"/>
  <c r="BT174" i="1" a="1"/>
  <c r="BT174" i="1" s="1"/>
  <c r="BT175" i="1" a="1"/>
  <c r="BT175" i="1" s="1"/>
  <c r="BT176" i="1" a="1"/>
  <c r="BT176" i="1" s="1"/>
  <c r="BT177" i="1" a="1"/>
  <c r="BT177" i="1" s="1"/>
  <c r="BT178" i="1" a="1"/>
  <c r="BT178" i="1" s="1"/>
  <c r="BT179" i="1" a="1"/>
  <c r="BT179" i="1" s="1"/>
  <c r="BT180" i="1" a="1"/>
  <c r="BT180" i="1" s="1"/>
  <c r="BT181" i="1" a="1"/>
  <c r="BT181" i="1" s="1"/>
  <c r="BT182" i="1" a="1"/>
  <c r="BT182" i="1" s="1"/>
  <c r="BT183" i="1" a="1"/>
  <c r="BT183" i="1" s="1"/>
  <c r="BT184" i="1" a="1"/>
  <c r="BT184" i="1" s="1"/>
  <c r="BT185" i="1" a="1"/>
  <c r="BT185" i="1" s="1"/>
  <c r="BT19" i="1" a="1"/>
  <c r="BT19" i="1" s="1"/>
  <c r="BT187" i="1" a="1"/>
  <c r="BT187" i="1" s="1"/>
  <c r="BT188" i="1" a="1"/>
  <c r="BT188" i="1" s="1"/>
  <c r="BT189" i="1" a="1"/>
  <c r="BT189" i="1" s="1"/>
  <c r="BT190" i="1" a="1"/>
  <c r="BT190" i="1" s="1"/>
  <c r="BT191" i="1" a="1"/>
  <c r="BT191" i="1" s="1"/>
  <c r="BT192" i="1" a="1"/>
  <c r="BT192" i="1" s="1"/>
  <c r="BT193" i="1" a="1"/>
  <c r="BT193" i="1" s="1"/>
  <c r="BT194" i="1" a="1"/>
  <c r="BT194" i="1" s="1"/>
  <c r="BT195" i="1" a="1"/>
  <c r="BT195" i="1" s="1"/>
  <c r="BT196" i="1" a="1"/>
  <c r="BT196" i="1" s="1"/>
  <c r="BT197" i="1" a="1"/>
  <c r="BT197" i="1" s="1"/>
  <c r="BT198" i="1" a="1"/>
  <c r="BT198" i="1" s="1"/>
  <c r="BT199" i="1" a="1"/>
  <c r="BT199" i="1" s="1"/>
  <c r="BT200" i="1" a="1"/>
  <c r="BT200" i="1" s="1"/>
  <c r="BT201" i="1" a="1"/>
  <c r="BT201" i="1" s="1"/>
  <c r="BT202" i="1" a="1"/>
  <c r="BT202" i="1" s="1"/>
  <c r="BT203" i="1" a="1"/>
  <c r="BT203" i="1" s="1"/>
  <c r="BT204" i="1" a="1"/>
  <c r="BT204" i="1" s="1"/>
  <c r="BT205" i="1" a="1"/>
  <c r="BT205" i="1" s="1"/>
  <c r="BT206" i="1" a="1"/>
  <c r="BT206" i="1" s="1"/>
  <c r="BT207" i="1" a="1"/>
  <c r="BT207" i="1" s="1"/>
  <c r="BT208" i="1" a="1"/>
  <c r="BT208" i="1" s="1"/>
  <c r="BT209" i="1" a="1"/>
  <c r="BT209" i="1" s="1"/>
  <c r="BT210" i="1" a="1"/>
  <c r="BT210" i="1" s="1"/>
  <c r="BT211" i="1" a="1"/>
  <c r="BT211" i="1" s="1"/>
  <c r="BT212" i="1" a="1"/>
  <c r="BT212" i="1" s="1"/>
  <c r="BT213" i="1" a="1"/>
  <c r="BT213" i="1" s="1"/>
  <c r="BT214" i="1" a="1"/>
  <c r="BT214" i="1" s="1"/>
  <c r="BT215" i="1" a="1"/>
  <c r="BT215" i="1" s="1"/>
  <c r="BT216" i="1" a="1"/>
  <c r="BT216" i="1" s="1"/>
  <c r="BT217" i="1" a="1"/>
  <c r="BT217" i="1" s="1"/>
  <c r="BT218" i="1" a="1"/>
  <c r="BT218" i="1" s="1"/>
  <c r="BT219" i="1" a="1"/>
  <c r="BT219" i="1" s="1"/>
  <c r="BT220" i="1" a="1"/>
  <c r="BT220" i="1" s="1"/>
  <c r="BT221" i="1" a="1"/>
  <c r="BT221" i="1" s="1"/>
  <c r="BT222" i="1" a="1"/>
  <c r="BT222" i="1" s="1"/>
  <c r="BT223" i="1" a="1"/>
  <c r="BT223" i="1" s="1"/>
  <c r="BT224" i="1" a="1"/>
  <c r="BT224" i="1" s="1"/>
  <c r="BT225" i="1" a="1"/>
  <c r="BT225" i="1" s="1"/>
  <c r="BT226" i="1" a="1"/>
  <c r="BT226" i="1" s="1"/>
  <c r="BT227" i="1" a="1"/>
  <c r="BT227" i="1" s="1"/>
  <c r="BT228" i="1" a="1"/>
  <c r="BT228" i="1" s="1"/>
  <c r="BT229" i="1" a="1"/>
  <c r="BT229" i="1" s="1"/>
  <c r="BT230" i="1" a="1"/>
  <c r="BT230" i="1" s="1"/>
  <c r="BT231" i="1" a="1"/>
  <c r="BT231" i="1" s="1"/>
  <c r="BT232" i="1" a="1"/>
  <c r="BT232" i="1" s="1"/>
  <c r="BT233" i="1" a="1"/>
  <c r="BT233" i="1" s="1"/>
  <c r="BT234" i="1" a="1"/>
  <c r="BT234" i="1" s="1"/>
  <c r="BT235" i="1" a="1"/>
  <c r="BT235" i="1" s="1"/>
  <c r="BT236" i="1" a="1"/>
  <c r="BT236" i="1" s="1"/>
  <c r="BT237" i="1" a="1"/>
  <c r="BT237" i="1" s="1"/>
  <c r="BT238" i="1" a="1"/>
  <c r="BT238" i="1" s="1"/>
  <c r="BT239" i="1" a="1"/>
  <c r="BT239" i="1" s="1"/>
  <c r="BT240" i="1" a="1"/>
  <c r="BT240" i="1" s="1"/>
  <c r="BT241" i="1" a="1"/>
  <c r="BT241" i="1" s="1"/>
  <c r="BT242" i="1" a="1"/>
  <c r="BT242" i="1" s="1"/>
  <c r="BT243" i="1" a="1"/>
  <c r="BT243" i="1" s="1"/>
  <c r="BT244" i="1" a="1"/>
  <c r="BT244" i="1" s="1"/>
  <c r="BT245" i="1" a="1"/>
  <c r="BT245" i="1" s="1"/>
  <c r="BT246" i="1" a="1"/>
  <c r="BT246" i="1" s="1"/>
  <c r="BT247" i="1" a="1"/>
  <c r="BT247" i="1" s="1"/>
  <c r="BT248" i="1" a="1"/>
  <c r="BT248" i="1" s="1"/>
  <c r="BT249" i="1" a="1"/>
  <c r="BT249" i="1" s="1"/>
  <c r="BT250" i="1" a="1"/>
  <c r="BT250" i="1" s="1"/>
  <c r="BT251" i="1" a="1"/>
  <c r="BT251" i="1" s="1"/>
  <c r="BT252" i="1" a="1"/>
  <c r="BT252" i="1" s="1"/>
  <c r="BT253" i="1" a="1"/>
  <c r="BT253" i="1" s="1"/>
  <c r="BT254" i="1" a="1"/>
  <c r="BT254" i="1" s="1"/>
  <c r="BT255" i="1" a="1"/>
  <c r="BT255" i="1" s="1"/>
  <c r="BT256" i="1" a="1"/>
  <c r="BT256" i="1" s="1"/>
  <c r="BT257" i="1" a="1"/>
  <c r="BT257" i="1" s="1"/>
  <c r="BT258" i="1" a="1"/>
  <c r="BT258" i="1" s="1"/>
  <c r="BT259" i="1" a="1"/>
  <c r="BT259" i="1" s="1"/>
  <c r="BT260" i="1" a="1"/>
  <c r="BT260" i="1" s="1"/>
  <c r="BT261" i="1" a="1"/>
  <c r="BT261" i="1" s="1"/>
  <c r="BT262" i="1" a="1"/>
  <c r="BT262" i="1" s="1"/>
  <c r="BT263" i="1" a="1"/>
  <c r="BT263" i="1" s="1"/>
  <c r="BT264" i="1" a="1"/>
  <c r="BT264" i="1" s="1"/>
  <c r="BT265" i="1" a="1"/>
  <c r="BT265" i="1" s="1"/>
  <c r="BT266" i="1" a="1"/>
  <c r="BT266" i="1" s="1"/>
  <c r="BT267" i="1" a="1"/>
  <c r="BT267" i="1" s="1"/>
  <c r="BT268" i="1" a="1"/>
  <c r="BT268" i="1" s="1"/>
  <c r="BT269" i="1" a="1"/>
  <c r="BT269" i="1" s="1"/>
  <c r="BT270" i="1" a="1"/>
  <c r="BT270" i="1" s="1"/>
  <c r="BT271" i="1" a="1"/>
  <c r="BT271" i="1" s="1"/>
  <c r="BT6" i="1" a="1"/>
  <c r="BT6" i="1" s="1"/>
  <c r="BO238" i="1" a="1"/>
  <c r="BO238" i="1" s="1"/>
  <c r="CB238" i="1" s="1"/>
  <c r="BO8" i="1" a="1"/>
  <c r="BO8" i="1" s="1"/>
  <c r="CB8" i="1" s="1"/>
  <c r="BO245" i="1" a="1"/>
  <c r="BO245" i="1" s="1"/>
  <c r="CB245" i="1" s="1"/>
  <c r="BO121" i="1" a="1"/>
  <c r="BO121" i="1" s="1"/>
  <c r="CB121" i="1" s="1"/>
  <c r="BO14" i="1" a="1"/>
  <c r="BO14" i="1" s="1"/>
  <c r="CB14" i="1" s="1"/>
  <c r="EG6" i="1"/>
  <c r="EI6" i="1" s="1"/>
  <c r="EK6" i="1" s="1"/>
  <c r="BO7" i="1" a="1"/>
  <c r="BO7" i="1" s="1"/>
  <c r="CB7" i="1" s="1"/>
  <c r="BO22" i="1" a="1"/>
  <c r="BO22" i="1" s="1"/>
  <c r="CB22" i="1" s="1"/>
  <c r="BU6" i="1" a="1"/>
  <c r="BU6" i="1" s="1"/>
  <c r="BU7" i="1" a="1"/>
  <c r="BU7" i="1" s="1"/>
  <c r="BU8" i="1" a="1"/>
  <c r="BU8" i="1" s="1"/>
  <c r="BU9" i="1" a="1"/>
  <c r="BU9" i="1" s="1"/>
  <c r="BU10" i="1" a="1"/>
  <c r="BU10" i="1" s="1"/>
  <c r="BU11" i="1" a="1"/>
  <c r="BU11" i="1" s="1"/>
  <c r="BU12" i="1" a="1"/>
  <c r="BU12" i="1" s="1"/>
  <c r="BU13" i="1" a="1"/>
  <c r="BU13" i="1" s="1"/>
  <c r="BU186" i="1" a="1"/>
  <c r="BU186" i="1" s="1"/>
  <c r="BU15" i="1" a="1"/>
  <c r="BU15" i="1" s="1"/>
  <c r="BU16" i="1" a="1"/>
  <c r="BU16" i="1" s="1"/>
  <c r="BU17" i="1" a="1"/>
  <c r="BU17" i="1" s="1"/>
  <c r="BU18" i="1" a="1"/>
  <c r="BU18" i="1" s="1"/>
  <c r="BU20" i="1" a="1"/>
  <c r="BU20" i="1" s="1"/>
  <c r="BU21" i="1" a="1"/>
  <c r="BU21" i="1" s="1"/>
  <c r="BU22" i="1" a="1"/>
  <c r="BU22" i="1" s="1"/>
  <c r="BU23" i="1" a="1"/>
  <c r="BU23" i="1" s="1"/>
  <c r="BU24" i="1" a="1"/>
  <c r="BU24" i="1" s="1"/>
  <c r="BU25" i="1" a="1"/>
  <c r="BU25" i="1" s="1"/>
  <c r="BU26" i="1" a="1"/>
  <c r="BU26" i="1" s="1"/>
  <c r="BU27" i="1" a="1"/>
  <c r="BU27" i="1" s="1"/>
  <c r="BU28" i="1" a="1"/>
  <c r="BU28" i="1" s="1"/>
  <c r="BU29" i="1" a="1"/>
  <c r="BU29" i="1" s="1"/>
  <c r="BU30" i="1" a="1"/>
  <c r="BU30" i="1" s="1"/>
  <c r="BU31" i="1" a="1"/>
  <c r="BU31" i="1" s="1"/>
  <c r="BU32" i="1" a="1"/>
  <c r="BU32" i="1" s="1"/>
  <c r="BU33" i="1" a="1"/>
  <c r="BU33" i="1" s="1"/>
  <c r="BU34" i="1" a="1"/>
  <c r="BU34" i="1" s="1"/>
  <c r="BU209" i="1" a="1"/>
  <c r="BU209" i="1" s="1"/>
  <c r="BU36" i="1" a="1"/>
  <c r="BU36" i="1" s="1"/>
  <c r="BU37" i="1" a="1"/>
  <c r="BU37" i="1" s="1"/>
  <c r="BU38" i="1" a="1"/>
  <c r="BU38" i="1" s="1"/>
  <c r="BU39" i="1" a="1"/>
  <c r="BU39" i="1" s="1"/>
  <c r="BU40" i="1" a="1"/>
  <c r="BU40" i="1" s="1"/>
  <c r="BU41" i="1" a="1"/>
  <c r="BU41" i="1" s="1"/>
  <c r="BU42" i="1" a="1"/>
  <c r="BU42" i="1" s="1"/>
  <c r="BU43" i="1" a="1"/>
  <c r="BU43" i="1" s="1"/>
  <c r="BU44" i="1" a="1"/>
  <c r="BU44" i="1" s="1"/>
  <c r="BU45" i="1" a="1"/>
  <c r="BU45" i="1" s="1"/>
  <c r="BU46" i="1" a="1"/>
  <c r="BU46" i="1" s="1"/>
  <c r="BU47" i="1" a="1"/>
  <c r="BU47" i="1" s="1"/>
  <c r="BU48" i="1" a="1"/>
  <c r="BU48" i="1" s="1"/>
  <c r="BU49" i="1" a="1"/>
  <c r="BU49" i="1" s="1"/>
  <c r="BU50" i="1" a="1"/>
  <c r="BU50" i="1" s="1"/>
  <c r="BU51" i="1" a="1"/>
  <c r="BU51" i="1" s="1"/>
  <c r="BU52" i="1" a="1"/>
  <c r="BU52" i="1" s="1"/>
  <c r="BU53" i="1" a="1"/>
  <c r="BU53" i="1" s="1"/>
  <c r="BU54" i="1" a="1"/>
  <c r="BU54" i="1" s="1"/>
  <c r="BU55" i="1" a="1"/>
  <c r="BU55" i="1" s="1"/>
  <c r="BU56" i="1" a="1"/>
  <c r="BU56" i="1" s="1"/>
  <c r="BU57" i="1" a="1"/>
  <c r="BU57" i="1" s="1"/>
  <c r="BU58" i="1" a="1"/>
  <c r="BU58" i="1" s="1"/>
  <c r="BU59" i="1" a="1"/>
  <c r="BU59" i="1" s="1"/>
  <c r="BU60" i="1" a="1"/>
  <c r="BU60" i="1" s="1"/>
  <c r="BU61" i="1" a="1"/>
  <c r="BU61" i="1" s="1"/>
  <c r="BU62" i="1" a="1"/>
  <c r="BU62" i="1" s="1"/>
  <c r="BU63" i="1" a="1"/>
  <c r="BU63" i="1" s="1"/>
  <c r="BU64" i="1" a="1"/>
  <c r="BU64" i="1" s="1"/>
  <c r="BU127" i="1" a="1"/>
  <c r="BU127" i="1" s="1"/>
  <c r="BU121" i="1" a="1"/>
  <c r="BU121" i="1" s="1"/>
  <c r="BU68" i="1" a="1"/>
  <c r="BU68" i="1" s="1"/>
  <c r="BU69" i="1" a="1"/>
  <c r="BU69" i="1" s="1"/>
  <c r="BU184" i="1" a="1"/>
  <c r="BU184" i="1" s="1"/>
  <c r="BU71" i="1" a="1"/>
  <c r="BU71" i="1" s="1"/>
  <c r="BU72" i="1" a="1"/>
  <c r="BU72" i="1" s="1"/>
  <c r="BU73" i="1" a="1"/>
  <c r="BU73" i="1" s="1"/>
  <c r="BU74" i="1" a="1"/>
  <c r="BU74" i="1" s="1"/>
  <c r="BU75" i="1" a="1"/>
  <c r="BU75" i="1" s="1"/>
  <c r="BU76" i="1" a="1"/>
  <c r="BU76" i="1" s="1"/>
  <c r="BU77" i="1" a="1"/>
  <c r="BU77" i="1" s="1"/>
  <c r="BU78" i="1" a="1"/>
  <c r="BU78" i="1" s="1"/>
  <c r="BU79" i="1" a="1"/>
  <c r="BU79" i="1" s="1"/>
  <c r="BU80" i="1" a="1"/>
  <c r="BU80" i="1" s="1"/>
  <c r="BU81" i="1" a="1"/>
  <c r="BU81" i="1" s="1"/>
  <c r="BU82" i="1" a="1"/>
  <c r="BU82" i="1" s="1"/>
  <c r="BU83" i="1" a="1"/>
  <c r="BU83" i="1" s="1"/>
  <c r="BU84" i="1" a="1"/>
  <c r="BU84" i="1" s="1"/>
  <c r="BU85" i="1" a="1"/>
  <c r="BU85" i="1" s="1"/>
  <c r="BU86" i="1" a="1"/>
  <c r="BU86" i="1" s="1"/>
  <c r="BU87" i="1" a="1"/>
  <c r="BU87" i="1" s="1"/>
  <c r="BU88" i="1" a="1"/>
  <c r="BU88" i="1" s="1"/>
  <c r="BU124" i="1" a="1"/>
  <c r="BU124" i="1" s="1"/>
  <c r="BU163" i="1" a="1"/>
  <c r="BU163" i="1" s="1"/>
  <c r="BU91" i="1" a="1"/>
  <c r="BU91" i="1" s="1"/>
  <c r="BU93" i="1" a="1"/>
  <c r="BU93" i="1" s="1"/>
  <c r="BU94" i="1" a="1"/>
  <c r="BU94" i="1" s="1"/>
  <c r="BU95" i="1" a="1"/>
  <c r="BU95" i="1" s="1"/>
  <c r="BU96" i="1" a="1"/>
  <c r="BU96" i="1" s="1"/>
  <c r="BU97" i="1" a="1"/>
  <c r="BU97" i="1" s="1"/>
  <c r="BU98" i="1" a="1"/>
  <c r="BU98" i="1" s="1"/>
  <c r="BU99" i="1" a="1"/>
  <c r="BU99" i="1" s="1"/>
  <c r="BU100" i="1" a="1"/>
  <c r="BU100" i="1" s="1"/>
  <c r="BU101" i="1" a="1"/>
  <c r="BU101" i="1" s="1"/>
  <c r="BU102" i="1" a="1"/>
  <c r="BU102" i="1" s="1"/>
  <c r="BU103" i="1" a="1"/>
  <c r="BU103" i="1" s="1"/>
  <c r="BU104" i="1" a="1"/>
  <c r="BU104" i="1" s="1"/>
  <c r="BU105" i="1" a="1"/>
  <c r="BU105" i="1" s="1"/>
  <c r="BU106" i="1" a="1"/>
  <c r="BU106" i="1" s="1"/>
  <c r="BU107" i="1" a="1"/>
  <c r="BU107" i="1" s="1"/>
  <c r="BU108" i="1" a="1"/>
  <c r="BU108" i="1" s="1"/>
  <c r="BU109" i="1" a="1"/>
  <c r="BU109" i="1" s="1"/>
  <c r="BU110" i="1" a="1"/>
  <c r="BU110" i="1" s="1"/>
  <c r="BU111" i="1" a="1"/>
  <c r="BU111" i="1" s="1"/>
  <c r="BU112" i="1" a="1"/>
  <c r="BU112" i="1" s="1"/>
  <c r="BU113" i="1" a="1"/>
  <c r="BU113" i="1" s="1"/>
  <c r="BU89" i="1" a="1"/>
  <c r="BU89" i="1" s="1"/>
  <c r="BU115" i="1" a="1"/>
  <c r="BU115" i="1" s="1"/>
  <c r="BU116" i="1" a="1"/>
  <c r="BU116" i="1" s="1"/>
  <c r="BU117" i="1" a="1"/>
  <c r="BU117" i="1" s="1"/>
  <c r="BU118" i="1" a="1"/>
  <c r="BU118" i="1" s="1"/>
  <c r="BU119" i="1" a="1"/>
  <c r="BU119" i="1" s="1"/>
  <c r="BU67" i="1" a="1"/>
  <c r="BU67" i="1" s="1"/>
  <c r="BU70" i="1" a="1"/>
  <c r="BU70" i="1" s="1"/>
  <c r="BU122" i="1" a="1"/>
  <c r="BU122" i="1" s="1"/>
  <c r="BU123" i="1" a="1"/>
  <c r="BU123" i="1" s="1"/>
  <c r="BU153" i="1" a="1"/>
  <c r="BU153" i="1" s="1"/>
  <c r="BU125" i="1" a="1"/>
  <c r="BU125" i="1" s="1"/>
  <c r="BU126" i="1" a="1"/>
  <c r="BU126" i="1" s="1"/>
  <c r="BU14" i="1" a="1"/>
  <c r="BU14" i="1" s="1"/>
  <c r="BU128" i="1" a="1"/>
  <c r="BU128" i="1" s="1"/>
  <c r="BU129" i="1" a="1"/>
  <c r="BU129" i="1" s="1"/>
  <c r="BU130" i="1" a="1"/>
  <c r="BU130" i="1" s="1"/>
  <c r="BU131" i="1" a="1"/>
  <c r="BU131" i="1" s="1"/>
  <c r="BU133" i="1" a="1"/>
  <c r="BU133" i="1" s="1"/>
  <c r="BU134" i="1" a="1"/>
  <c r="BU134" i="1" s="1"/>
  <c r="BU135" i="1" a="1"/>
  <c r="BU135" i="1" s="1"/>
  <c r="BU136" i="1" a="1"/>
  <c r="BU136" i="1" s="1"/>
  <c r="BU137" i="1" a="1"/>
  <c r="BU137" i="1" s="1"/>
  <c r="BU138" i="1" a="1"/>
  <c r="BU138" i="1" s="1"/>
  <c r="BU139" i="1" a="1"/>
  <c r="BU139" i="1" s="1"/>
  <c r="BU140" i="1" a="1"/>
  <c r="BU140" i="1" s="1"/>
  <c r="BU141" i="1" a="1"/>
  <c r="BU141" i="1" s="1"/>
  <c r="BU142" i="1" a="1"/>
  <c r="BU142" i="1" s="1"/>
  <c r="BU143" i="1" a="1"/>
  <c r="BU143" i="1" s="1"/>
  <c r="BU144" i="1" a="1"/>
  <c r="BU144" i="1" s="1"/>
  <c r="BU145" i="1" a="1"/>
  <c r="BU145" i="1" s="1"/>
  <c r="BU146" i="1" a="1"/>
  <c r="BU146" i="1" s="1"/>
  <c r="BU147" i="1" a="1"/>
  <c r="BU147" i="1" s="1"/>
  <c r="BU148" i="1" a="1"/>
  <c r="BU148" i="1" s="1"/>
  <c r="BU149" i="1" a="1"/>
  <c r="BU149" i="1" s="1"/>
  <c r="BU150" i="1" a="1"/>
  <c r="BU150" i="1" s="1"/>
  <c r="BU151" i="1" a="1"/>
  <c r="BU151" i="1" s="1"/>
  <c r="BU152" i="1" a="1"/>
  <c r="BU152" i="1" s="1"/>
  <c r="BU120" i="1" a="1"/>
  <c r="BU120" i="1" s="1"/>
  <c r="BU154" i="1" a="1"/>
  <c r="BU154" i="1" s="1"/>
  <c r="BU92" i="1" a="1"/>
  <c r="BU92" i="1" s="1"/>
  <c r="BU156" i="1" a="1"/>
  <c r="BU156" i="1" s="1"/>
  <c r="BU157" i="1" a="1"/>
  <c r="BU157" i="1" s="1"/>
  <c r="BU158" i="1" a="1"/>
  <c r="BU158" i="1" s="1"/>
  <c r="BU159" i="1" a="1"/>
  <c r="BU159" i="1" s="1"/>
  <c r="BU160" i="1" a="1"/>
  <c r="BU160" i="1" s="1"/>
  <c r="BU161" i="1" a="1"/>
  <c r="BU161" i="1" s="1"/>
  <c r="BU162" i="1" a="1"/>
  <c r="BU162" i="1" s="1"/>
  <c r="BU65" i="1" a="1"/>
  <c r="BU65" i="1" s="1"/>
  <c r="BU164" i="1" a="1"/>
  <c r="BU164" i="1" s="1"/>
  <c r="BU165" i="1" a="1"/>
  <c r="BU165" i="1" s="1"/>
  <c r="BU166" i="1" a="1"/>
  <c r="BU166" i="1" s="1"/>
  <c r="BU167" i="1" a="1"/>
  <c r="BU167" i="1" s="1"/>
  <c r="BU168" i="1" a="1"/>
  <c r="BU168" i="1" s="1"/>
  <c r="BU169" i="1" a="1"/>
  <c r="BU169" i="1" s="1"/>
  <c r="BU170" i="1" a="1"/>
  <c r="BU170" i="1" s="1"/>
  <c r="BU171" i="1" a="1"/>
  <c r="BU171" i="1" s="1"/>
  <c r="BU172" i="1" a="1"/>
  <c r="BU172" i="1" s="1"/>
  <c r="BU173" i="1" a="1"/>
  <c r="BU173" i="1" s="1"/>
  <c r="BU174" i="1" a="1"/>
  <c r="BU174" i="1" s="1"/>
  <c r="BU175" i="1" a="1"/>
  <c r="BU175" i="1" s="1"/>
  <c r="BU176" i="1" a="1"/>
  <c r="BU176" i="1" s="1"/>
  <c r="BU177" i="1" a="1"/>
  <c r="BU177" i="1" s="1"/>
  <c r="BU178" i="1" a="1"/>
  <c r="BU178" i="1" s="1"/>
  <c r="BU179" i="1" a="1"/>
  <c r="BU179" i="1" s="1"/>
  <c r="BU155" i="1" a="1"/>
  <c r="BU155" i="1" s="1"/>
  <c r="BU181" i="1" a="1"/>
  <c r="BU181" i="1" s="1"/>
  <c r="BU182" i="1" a="1"/>
  <c r="BU182" i="1" s="1"/>
  <c r="BU183" i="1" a="1"/>
  <c r="BU183" i="1" s="1"/>
  <c r="BU185" i="1" a="1"/>
  <c r="BU185" i="1" s="1"/>
  <c r="BU19" i="1" a="1"/>
  <c r="BU19" i="1" s="1"/>
  <c r="BU187" i="1" a="1"/>
  <c r="BU187" i="1" s="1"/>
  <c r="BU188" i="1" a="1"/>
  <c r="BU188" i="1" s="1"/>
  <c r="BU189" i="1" a="1"/>
  <c r="BU189" i="1" s="1"/>
  <c r="BU190" i="1" a="1"/>
  <c r="BU190" i="1" s="1"/>
  <c r="BU35" i="1" a="1"/>
  <c r="BU35" i="1" s="1"/>
  <c r="BU192" i="1" a="1"/>
  <c r="BU192" i="1" s="1"/>
  <c r="BU193" i="1" a="1"/>
  <c r="BU193" i="1" s="1"/>
  <c r="BU194" i="1" a="1"/>
  <c r="BU194" i="1" s="1"/>
  <c r="BU195" i="1" a="1"/>
  <c r="BU195" i="1" s="1"/>
  <c r="BU196" i="1" a="1"/>
  <c r="BU196" i="1" s="1"/>
  <c r="BU197" i="1" a="1"/>
  <c r="BU197" i="1" s="1"/>
  <c r="BU198" i="1" a="1"/>
  <c r="BU198" i="1" s="1"/>
  <c r="BU199" i="1" a="1"/>
  <c r="BU199" i="1" s="1"/>
  <c r="BU200" i="1" a="1"/>
  <c r="BU200" i="1" s="1"/>
  <c r="BU201" i="1" a="1"/>
  <c r="BU201" i="1" s="1"/>
  <c r="BU255" i="1" a="1"/>
  <c r="BU255" i="1" s="1"/>
  <c r="BU203" i="1" a="1"/>
  <c r="BU203" i="1" s="1"/>
  <c r="BU204" i="1" a="1"/>
  <c r="BU204" i="1" s="1"/>
  <c r="BU205" i="1" a="1"/>
  <c r="BU205" i="1" s="1"/>
  <c r="BU206" i="1" a="1"/>
  <c r="BU206" i="1" s="1"/>
  <c r="BU207" i="1" a="1"/>
  <c r="BU207" i="1" s="1"/>
  <c r="BU208" i="1" a="1"/>
  <c r="BU208" i="1" s="1"/>
  <c r="BU114" i="1" a="1"/>
  <c r="BU114" i="1" s="1"/>
  <c r="BU210" i="1" a="1"/>
  <c r="BU210" i="1" s="1"/>
  <c r="BU211" i="1" a="1"/>
  <c r="BU211" i="1" s="1"/>
  <c r="BU212" i="1" a="1"/>
  <c r="BU212" i="1" s="1"/>
  <c r="BU213" i="1" a="1"/>
  <c r="BU213" i="1" s="1"/>
  <c r="BU214" i="1" a="1"/>
  <c r="BU214" i="1" s="1"/>
  <c r="BU215" i="1" a="1"/>
  <c r="BU215" i="1" s="1"/>
  <c r="BU216" i="1" a="1"/>
  <c r="BU216" i="1" s="1"/>
  <c r="BU217" i="1" a="1"/>
  <c r="BU217" i="1" s="1"/>
  <c r="BU218" i="1" a="1"/>
  <c r="BU218" i="1" s="1"/>
  <c r="BU219" i="1" a="1"/>
  <c r="BU219" i="1" s="1"/>
  <c r="BU220" i="1" a="1"/>
  <c r="BU220" i="1" s="1"/>
  <c r="BU221" i="1" a="1"/>
  <c r="BU221" i="1" s="1"/>
  <c r="BU222" i="1" a="1"/>
  <c r="BU222" i="1" s="1"/>
  <c r="BU223" i="1" a="1"/>
  <c r="BU223" i="1" s="1"/>
  <c r="BU224" i="1" a="1"/>
  <c r="BU224" i="1" s="1"/>
  <c r="BU225" i="1" a="1"/>
  <c r="BU225" i="1" s="1"/>
  <c r="BU226" i="1" a="1"/>
  <c r="BU226" i="1" s="1"/>
  <c r="BU227" i="1" a="1"/>
  <c r="BU227" i="1" s="1"/>
  <c r="BU228" i="1" a="1"/>
  <c r="BU228" i="1" s="1"/>
  <c r="BU229" i="1" a="1"/>
  <c r="BU229" i="1" s="1"/>
  <c r="BU230" i="1" a="1"/>
  <c r="BU230" i="1" s="1"/>
  <c r="BU231" i="1" a="1"/>
  <c r="BU231" i="1" s="1"/>
  <c r="BU232" i="1" a="1"/>
  <c r="BU232" i="1" s="1"/>
  <c r="BU233" i="1" a="1"/>
  <c r="BU233" i="1" s="1"/>
  <c r="BU234" i="1" a="1"/>
  <c r="BU234" i="1" s="1"/>
  <c r="BU235" i="1" a="1"/>
  <c r="BU235" i="1" s="1"/>
  <c r="BU236" i="1" a="1"/>
  <c r="BU236" i="1" s="1"/>
  <c r="BU237" i="1" a="1"/>
  <c r="BU237" i="1" s="1"/>
  <c r="BU238" i="1" a="1"/>
  <c r="BU238" i="1" s="1"/>
  <c r="BU239" i="1" a="1"/>
  <c r="BU239" i="1" s="1"/>
  <c r="BU240" i="1" a="1"/>
  <c r="BU240" i="1" s="1"/>
  <c r="BU241" i="1" a="1"/>
  <c r="BU241" i="1" s="1"/>
  <c r="BU242" i="1" a="1"/>
  <c r="BU242" i="1" s="1"/>
  <c r="BU243" i="1" a="1"/>
  <c r="BU243" i="1" s="1"/>
  <c r="BU244" i="1" a="1"/>
  <c r="BU244" i="1" s="1"/>
  <c r="BU245" i="1" a="1"/>
  <c r="BU245" i="1" s="1"/>
  <c r="BU246" i="1" a="1"/>
  <c r="BU246" i="1" s="1"/>
  <c r="BU247" i="1" a="1"/>
  <c r="BU247" i="1" s="1"/>
  <c r="BU248" i="1" a="1"/>
  <c r="BU248" i="1" s="1"/>
  <c r="BU249" i="1" a="1"/>
  <c r="BU249" i="1" s="1"/>
  <c r="BU250" i="1" a="1"/>
  <c r="BU250" i="1" s="1"/>
  <c r="BU251" i="1" a="1"/>
  <c r="BU251" i="1" s="1"/>
  <c r="BU252" i="1" a="1"/>
  <c r="BU252" i="1" s="1"/>
  <c r="BU253" i="1" a="1"/>
  <c r="BU253" i="1" s="1"/>
  <c r="BU254" i="1" a="1"/>
  <c r="BU254" i="1" s="1"/>
  <c r="BU202" i="1" a="1"/>
  <c r="BU202" i="1" s="1"/>
  <c r="BU256" i="1" a="1"/>
  <c r="BU256" i="1" s="1"/>
  <c r="BU257" i="1" a="1"/>
  <c r="BU257" i="1" s="1"/>
  <c r="BU258" i="1" a="1"/>
  <c r="BU258" i="1" s="1"/>
  <c r="BU259" i="1" a="1"/>
  <c r="BU259" i="1" s="1"/>
  <c r="BU260" i="1" a="1"/>
  <c r="BU260" i="1" s="1"/>
  <c r="BU261" i="1" a="1"/>
  <c r="BU261" i="1" s="1"/>
  <c r="BU262" i="1" a="1"/>
  <c r="BU262" i="1" s="1"/>
  <c r="BU263" i="1" a="1"/>
  <c r="BU263" i="1" s="1"/>
  <c r="BU264" i="1" a="1"/>
  <c r="BU264" i="1" s="1"/>
  <c r="BU265" i="1" a="1"/>
  <c r="BU265" i="1" s="1"/>
  <c r="BU266" i="1" a="1"/>
  <c r="BU266" i="1" s="1"/>
  <c r="BU267" i="1" a="1"/>
  <c r="BU267" i="1" s="1"/>
  <c r="BU268" i="1" a="1"/>
  <c r="BU268" i="1" s="1"/>
  <c r="BU269" i="1" a="1"/>
  <c r="BU269" i="1" s="1"/>
  <c r="BU270" i="1" a="1"/>
  <c r="BU270" i="1" s="1"/>
  <c r="BU271" i="1" a="1"/>
  <c r="BU271" i="1" s="1"/>
  <c r="BO65" i="1" a="1"/>
  <c r="BO65" i="1" s="1"/>
  <c r="CB65" i="1" s="1"/>
  <c r="BO236" i="1" a="1"/>
  <c r="BO236" i="1" s="1"/>
  <c r="CB236" i="1" s="1"/>
  <c r="BW6" i="1" a="1"/>
  <c r="BW6" i="1" s="1"/>
  <c r="BW7" i="1" a="1"/>
  <c r="BW7" i="1" s="1"/>
  <c r="BW8" i="1" a="1"/>
  <c r="BW8" i="1" s="1"/>
  <c r="BW9" i="1" a="1"/>
  <c r="BW9" i="1" s="1"/>
  <c r="BW10" i="1" a="1"/>
  <c r="BW10" i="1" s="1"/>
  <c r="BW11" i="1" a="1"/>
  <c r="BW11" i="1" s="1"/>
  <c r="BW12" i="1" a="1"/>
  <c r="BW12" i="1" s="1"/>
  <c r="BW13" i="1" a="1"/>
  <c r="BW13" i="1" s="1"/>
  <c r="BW186" i="1" a="1"/>
  <c r="BW186" i="1" s="1"/>
  <c r="BW15" i="1" a="1"/>
  <c r="BW15" i="1" s="1"/>
  <c r="BW16" i="1" a="1"/>
  <c r="BW16" i="1" s="1"/>
  <c r="BW17" i="1" a="1"/>
  <c r="BW17" i="1" s="1"/>
  <c r="BW18" i="1" a="1"/>
  <c r="BW18" i="1" s="1"/>
  <c r="BW90" i="1" a="1"/>
  <c r="BW90" i="1" s="1"/>
  <c r="BW20" i="1" a="1"/>
  <c r="BW20" i="1" s="1"/>
  <c r="BW21" i="1" a="1"/>
  <c r="BW21" i="1" s="1"/>
  <c r="BW22" i="1" a="1"/>
  <c r="BW22" i="1" s="1"/>
  <c r="BW23" i="1" a="1"/>
  <c r="BW23" i="1" s="1"/>
  <c r="BW24" i="1" a="1"/>
  <c r="BW24" i="1" s="1"/>
  <c r="BW25" i="1" a="1"/>
  <c r="BW25" i="1" s="1"/>
  <c r="BW26" i="1" a="1"/>
  <c r="BW26" i="1" s="1"/>
  <c r="BW27" i="1" a="1"/>
  <c r="BW27" i="1" s="1"/>
  <c r="BW28" i="1" a="1"/>
  <c r="BW28" i="1" s="1"/>
  <c r="BW29" i="1" a="1"/>
  <c r="BW29" i="1" s="1"/>
  <c r="BW30" i="1" a="1"/>
  <c r="BW30" i="1" s="1"/>
  <c r="BW31" i="1" a="1"/>
  <c r="BW31" i="1" s="1"/>
  <c r="BW32" i="1" a="1"/>
  <c r="BW32" i="1" s="1"/>
  <c r="BW33" i="1" a="1"/>
  <c r="BW33" i="1" s="1"/>
  <c r="BW34" i="1" a="1"/>
  <c r="BW34" i="1" s="1"/>
  <c r="BW209" i="1" a="1"/>
  <c r="BW209" i="1" s="1"/>
  <c r="BW36" i="1" a="1"/>
  <c r="BW36" i="1" s="1"/>
  <c r="BW37" i="1" a="1"/>
  <c r="BW37" i="1" s="1"/>
  <c r="BW38" i="1" a="1"/>
  <c r="BW38" i="1" s="1"/>
  <c r="BW39" i="1" a="1"/>
  <c r="BW39" i="1" s="1"/>
  <c r="BW40" i="1" a="1"/>
  <c r="BW40" i="1" s="1"/>
  <c r="BW41" i="1" a="1"/>
  <c r="BW41" i="1" s="1"/>
  <c r="BW42" i="1" a="1"/>
  <c r="BW42" i="1" s="1"/>
  <c r="BW43" i="1" a="1"/>
  <c r="BW43" i="1" s="1"/>
  <c r="BW44" i="1" a="1"/>
  <c r="BW44" i="1" s="1"/>
  <c r="BW45" i="1" a="1"/>
  <c r="BW45" i="1" s="1"/>
  <c r="BW46" i="1" a="1"/>
  <c r="BW46" i="1" s="1"/>
  <c r="BW47" i="1" a="1"/>
  <c r="BW47" i="1" s="1"/>
  <c r="BW48" i="1" a="1"/>
  <c r="BW48" i="1" s="1"/>
  <c r="BW49" i="1" a="1"/>
  <c r="BW49" i="1" s="1"/>
  <c r="BW50" i="1" a="1"/>
  <c r="BW50" i="1" s="1"/>
  <c r="BW51" i="1" a="1"/>
  <c r="BW51" i="1" s="1"/>
  <c r="BW52" i="1" a="1"/>
  <c r="BW52" i="1" s="1"/>
  <c r="BW53" i="1" a="1"/>
  <c r="BW53" i="1" s="1"/>
  <c r="BW54" i="1" a="1"/>
  <c r="BW54" i="1" s="1"/>
  <c r="BW55" i="1" a="1"/>
  <c r="BW55" i="1" s="1"/>
  <c r="BW56" i="1" a="1"/>
  <c r="BW56" i="1" s="1"/>
  <c r="BW57" i="1" a="1"/>
  <c r="BW57" i="1" s="1"/>
  <c r="BW58" i="1" a="1"/>
  <c r="BW58" i="1" s="1"/>
  <c r="BW59" i="1" a="1"/>
  <c r="BW59" i="1" s="1"/>
  <c r="BW60" i="1" a="1"/>
  <c r="BW60" i="1" s="1"/>
  <c r="BW61" i="1" a="1"/>
  <c r="BW61" i="1" s="1"/>
  <c r="BW62" i="1" a="1"/>
  <c r="BW62" i="1" s="1"/>
  <c r="BW63" i="1" a="1"/>
  <c r="BW63" i="1" s="1"/>
  <c r="BW64" i="1" a="1"/>
  <c r="BW64" i="1" s="1"/>
  <c r="BW127" i="1" a="1"/>
  <c r="BW127" i="1" s="1"/>
  <c r="BW66" i="1" a="1"/>
  <c r="BW66" i="1" s="1"/>
  <c r="BW121" i="1" a="1"/>
  <c r="BW121" i="1" s="1"/>
  <c r="BW68" i="1" a="1"/>
  <c r="BW68" i="1" s="1"/>
  <c r="BW69" i="1" a="1"/>
  <c r="BW69" i="1" s="1"/>
  <c r="BW184" i="1" a="1"/>
  <c r="BW184" i="1" s="1"/>
  <c r="BW71" i="1" a="1"/>
  <c r="BW71" i="1" s="1"/>
  <c r="BW72" i="1" a="1"/>
  <c r="BW72" i="1" s="1"/>
  <c r="BW73" i="1" a="1"/>
  <c r="BW73" i="1" s="1"/>
  <c r="BW74" i="1" a="1"/>
  <c r="BW74" i="1" s="1"/>
  <c r="BW75" i="1" a="1"/>
  <c r="BW75" i="1" s="1"/>
  <c r="BW76" i="1" a="1"/>
  <c r="BW76" i="1" s="1"/>
  <c r="BW77" i="1" a="1"/>
  <c r="BW77" i="1" s="1"/>
  <c r="BW78" i="1" a="1"/>
  <c r="BW78" i="1" s="1"/>
  <c r="BW79" i="1" a="1"/>
  <c r="BW79" i="1" s="1"/>
  <c r="BW80" i="1" a="1"/>
  <c r="BW80" i="1" s="1"/>
  <c r="BW81" i="1" a="1"/>
  <c r="BW81" i="1" s="1"/>
  <c r="BW82" i="1" a="1"/>
  <c r="BW82" i="1" s="1"/>
  <c r="BW83" i="1" a="1"/>
  <c r="BW83" i="1" s="1"/>
  <c r="BW84" i="1" a="1"/>
  <c r="BW84" i="1" s="1"/>
  <c r="BW85" i="1" a="1"/>
  <c r="BW85" i="1" s="1"/>
  <c r="BW86" i="1" a="1"/>
  <c r="BW86" i="1" s="1"/>
  <c r="BW87" i="1" a="1"/>
  <c r="BW87" i="1" s="1"/>
  <c r="BW88" i="1" a="1"/>
  <c r="BW88" i="1" s="1"/>
  <c r="BW124" i="1" a="1"/>
  <c r="BW124" i="1" s="1"/>
  <c r="BW163" i="1" a="1"/>
  <c r="BW163" i="1" s="1"/>
  <c r="BW91" i="1" a="1"/>
  <c r="BW91" i="1" s="1"/>
  <c r="BW180" i="1" a="1"/>
  <c r="BW180" i="1" s="1"/>
  <c r="BW93" i="1" a="1"/>
  <c r="BW93" i="1" s="1"/>
  <c r="BW94" i="1" a="1"/>
  <c r="BW94" i="1" s="1"/>
  <c r="BW95" i="1" a="1"/>
  <c r="BW95" i="1" s="1"/>
  <c r="BW96" i="1" a="1"/>
  <c r="BW96" i="1" s="1"/>
  <c r="BW97" i="1" a="1"/>
  <c r="BW97" i="1" s="1"/>
  <c r="BW98" i="1" a="1"/>
  <c r="BW98" i="1" s="1"/>
  <c r="BW99" i="1" a="1"/>
  <c r="BW99" i="1" s="1"/>
  <c r="BW100" i="1" a="1"/>
  <c r="BW100" i="1" s="1"/>
  <c r="BW101" i="1" a="1"/>
  <c r="BW101" i="1" s="1"/>
  <c r="BW102" i="1" a="1"/>
  <c r="BW102" i="1" s="1"/>
  <c r="BW103" i="1" a="1"/>
  <c r="BW103" i="1" s="1"/>
  <c r="BW104" i="1" a="1"/>
  <c r="BW104" i="1" s="1"/>
  <c r="BW105" i="1" a="1"/>
  <c r="BW105" i="1" s="1"/>
  <c r="BW106" i="1" a="1"/>
  <c r="BW106" i="1" s="1"/>
  <c r="BW107" i="1" a="1"/>
  <c r="BW107" i="1" s="1"/>
  <c r="BW108" i="1" a="1"/>
  <c r="BW108" i="1" s="1"/>
  <c r="BW109" i="1" a="1"/>
  <c r="BW109" i="1" s="1"/>
  <c r="BW110" i="1" a="1"/>
  <c r="BW110" i="1" s="1"/>
  <c r="BW111" i="1" a="1"/>
  <c r="BW111" i="1" s="1"/>
  <c r="BW112" i="1" a="1"/>
  <c r="BW112" i="1" s="1"/>
  <c r="BW113" i="1" a="1"/>
  <c r="BW113" i="1" s="1"/>
  <c r="BW89" i="1" a="1"/>
  <c r="BW89" i="1" s="1"/>
  <c r="BW115" i="1" a="1"/>
  <c r="BW115" i="1" s="1"/>
  <c r="BW116" i="1" a="1"/>
  <c r="BW116" i="1" s="1"/>
  <c r="BW117" i="1" a="1"/>
  <c r="BW117" i="1" s="1"/>
  <c r="BW118" i="1" a="1"/>
  <c r="BW118" i="1" s="1"/>
  <c r="BW119" i="1" a="1"/>
  <c r="BW119" i="1" s="1"/>
  <c r="BW67" i="1" a="1"/>
  <c r="BW67" i="1" s="1"/>
  <c r="BW70" i="1" a="1"/>
  <c r="BW70" i="1" s="1"/>
  <c r="BW122" i="1" a="1"/>
  <c r="BW122" i="1" s="1"/>
  <c r="BW123" i="1" a="1"/>
  <c r="BW123" i="1" s="1"/>
  <c r="BW153" i="1" a="1"/>
  <c r="BW153" i="1" s="1"/>
  <c r="BW125" i="1" a="1"/>
  <c r="BW125" i="1" s="1"/>
  <c r="BW126" i="1" a="1"/>
  <c r="BW126" i="1" s="1"/>
  <c r="BW14" i="1" a="1"/>
  <c r="BW14" i="1" s="1"/>
  <c r="BW128" i="1" a="1"/>
  <c r="BW128" i="1" s="1"/>
  <c r="BW129" i="1" a="1"/>
  <c r="BW129" i="1" s="1"/>
  <c r="BW130" i="1" a="1"/>
  <c r="BW130" i="1" s="1"/>
  <c r="BW131" i="1" a="1"/>
  <c r="BW131" i="1" s="1"/>
  <c r="BW132" i="1" a="1"/>
  <c r="BW132" i="1" s="1"/>
  <c r="BW133" i="1" a="1"/>
  <c r="BW133" i="1" s="1"/>
  <c r="BW134" i="1" a="1"/>
  <c r="BW134" i="1" s="1"/>
  <c r="BW135" i="1" a="1"/>
  <c r="BW135" i="1" s="1"/>
  <c r="BW136" i="1" a="1"/>
  <c r="BW136" i="1" s="1"/>
  <c r="BW137" i="1" a="1"/>
  <c r="BW137" i="1" s="1"/>
  <c r="BW138" i="1" a="1"/>
  <c r="BW138" i="1" s="1"/>
  <c r="BW139" i="1" a="1"/>
  <c r="BW139" i="1" s="1"/>
  <c r="BW140" i="1" a="1"/>
  <c r="BW140" i="1" s="1"/>
  <c r="BW141" i="1" a="1"/>
  <c r="BW141" i="1" s="1"/>
  <c r="BW142" i="1" a="1"/>
  <c r="BW142" i="1" s="1"/>
  <c r="BW143" i="1" a="1"/>
  <c r="BW143" i="1" s="1"/>
  <c r="BW144" i="1" a="1"/>
  <c r="BW144" i="1" s="1"/>
  <c r="BW145" i="1" a="1"/>
  <c r="BW145" i="1" s="1"/>
  <c r="BW146" i="1" a="1"/>
  <c r="BW146" i="1" s="1"/>
  <c r="BW147" i="1" a="1"/>
  <c r="BW147" i="1" s="1"/>
  <c r="BW148" i="1" a="1"/>
  <c r="BW148" i="1" s="1"/>
  <c r="BW149" i="1" a="1"/>
  <c r="BW149" i="1" s="1"/>
  <c r="BW150" i="1" a="1"/>
  <c r="BW150" i="1" s="1"/>
  <c r="BW151" i="1" a="1"/>
  <c r="BW151" i="1" s="1"/>
  <c r="BW152" i="1" a="1"/>
  <c r="BW152" i="1" s="1"/>
  <c r="BW120" i="1" a="1"/>
  <c r="BW120" i="1" s="1"/>
  <c r="BW154" i="1" a="1"/>
  <c r="BW154" i="1" s="1"/>
  <c r="BW92" i="1" a="1"/>
  <c r="BW92" i="1" s="1"/>
  <c r="BW156" i="1" a="1"/>
  <c r="BW156" i="1" s="1"/>
  <c r="BW157" i="1" a="1"/>
  <c r="BW157" i="1" s="1"/>
  <c r="BW158" i="1" a="1"/>
  <c r="BW158" i="1" s="1"/>
  <c r="BW159" i="1" a="1"/>
  <c r="BW159" i="1" s="1"/>
  <c r="BW160" i="1" a="1"/>
  <c r="BW160" i="1" s="1"/>
  <c r="BW161" i="1" a="1"/>
  <c r="BW161" i="1" s="1"/>
  <c r="BW162" i="1" a="1"/>
  <c r="BW162" i="1" s="1"/>
  <c r="BW65" i="1" a="1"/>
  <c r="BW65" i="1" s="1"/>
  <c r="BW164" i="1" a="1"/>
  <c r="BW164" i="1" s="1"/>
  <c r="BW165" i="1" a="1"/>
  <c r="BW165" i="1" s="1"/>
  <c r="BW166" i="1" a="1"/>
  <c r="BW166" i="1" s="1"/>
  <c r="BW167" i="1" a="1"/>
  <c r="BW167" i="1" s="1"/>
  <c r="BW168" i="1" a="1"/>
  <c r="BW168" i="1" s="1"/>
  <c r="BW169" i="1" a="1"/>
  <c r="BW169" i="1" s="1"/>
  <c r="BW170" i="1" a="1"/>
  <c r="BW170" i="1" s="1"/>
  <c r="BW171" i="1" a="1"/>
  <c r="BW171" i="1" s="1"/>
  <c r="BW172" i="1" a="1"/>
  <c r="BW172" i="1" s="1"/>
  <c r="BW173" i="1" a="1"/>
  <c r="BW173" i="1" s="1"/>
  <c r="BW174" i="1" a="1"/>
  <c r="BW174" i="1" s="1"/>
  <c r="BW175" i="1" a="1"/>
  <c r="BW175" i="1" s="1"/>
  <c r="BW176" i="1" a="1"/>
  <c r="BW176" i="1" s="1"/>
  <c r="BW177" i="1" a="1"/>
  <c r="BW177" i="1" s="1"/>
  <c r="BW178" i="1" a="1"/>
  <c r="BW178" i="1" s="1"/>
  <c r="BW179" i="1" a="1"/>
  <c r="BW179" i="1" s="1"/>
  <c r="BW155" i="1" a="1"/>
  <c r="BW155" i="1" s="1"/>
  <c r="BW181" i="1" a="1"/>
  <c r="BW181" i="1" s="1"/>
  <c r="BW182" i="1" a="1"/>
  <c r="BW182" i="1" s="1"/>
  <c r="BW183" i="1" a="1"/>
  <c r="BW183" i="1" s="1"/>
  <c r="BW191" i="1" a="1"/>
  <c r="BW191" i="1" s="1"/>
  <c r="BW185" i="1" a="1"/>
  <c r="BW185" i="1" s="1"/>
  <c r="BW19" i="1" a="1"/>
  <c r="BW19" i="1" s="1"/>
  <c r="BW187" i="1" a="1"/>
  <c r="BW187" i="1" s="1"/>
  <c r="BW188" i="1" a="1"/>
  <c r="BW188" i="1" s="1"/>
  <c r="BW189" i="1" a="1"/>
  <c r="BW189" i="1" s="1"/>
  <c r="BW190" i="1" a="1"/>
  <c r="BW190" i="1" s="1"/>
  <c r="BW35" i="1" a="1"/>
  <c r="BW35" i="1" s="1"/>
  <c r="BW192" i="1" a="1"/>
  <c r="BW192" i="1" s="1"/>
  <c r="BW193" i="1" a="1"/>
  <c r="BW193" i="1" s="1"/>
  <c r="BW194" i="1" a="1"/>
  <c r="BW194" i="1" s="1"/>
  <c r="BW195" i="1" a="1"/>
  <c r="BW195" i="1" s="1"/>
  <c r="BW196" i="1" a="1"/>
  <c r="BW196" i="1" s="1"/>
  <c r="BW197" i="1" a="1"/>
  <c r="BW197" i="1" s="1"/>
  <c r="BW198" i="1" a="1"/>
  <c r="BW198" i="1" s="1"/>
  <c r="BW199" i="1" a="1"/>
  <c r="BW199" i="1" s="1"/>
  <c r="BW200" i="1" a="1"/>
  <c r="BW200" i="1" s="1"/>
  <c r="BW201" i="1" a="1"/>
  <c r="BW201" i="1" s="1"/>
  <c r="BW255" i="1" a="1"/>
  <c r="BW255" i="1" s="1"/>
  <c r="BW203" i="1" a="1"/>
  <c r="BW203" i="1" s="1"/>
  <c r="BW204" i="1" a="1"/>
  <c r="BW204" i="1" s="1"/>
  <c r="BW205" i="1" a="1"/>
  <c r="BW205" i="1" s="1"/>
  <c r="BW206" i="1" a="1"/>
  <c r="BW206" i="1" s="1"/>
  <c r="BW207" i="1" a="1"/>
  <c r="BW207" i="1" s="1"/>
  <c r="BW208" i="1" a="1"/>
  <c r="BW208" i="1" s="1"/>
  <c r="BW114" i="1" a="1"/>
  <c r="BW114" i="1" s="1"/>
  <c r="BW210" i="1" a="1"/>
  <c r="BW210" i="1" s="1"/>
  <c r="BW211" i="1" a="1"/>
  <c r="BW211" i="1" s="1"/>
  <c r="BW212" i="1" a="1"/>
  <c r="BW212" i="1" s="1"/>
  <c r="BW213" i="1" a="1"/>
  <c r="BW213" i="1" s="1"/>
  <c r="BW214" i="1" a="1"/>
  <c r="BW214" i="1" s="1"/>
  <c r="BW215" i="1" a="1"/>
  <c r="BW215" i="1" s="1"/>
  <c r="BW216" i="1" a="1"/>
  <c r="BW216" i="1" s="1"/>
  <c r="BW217" i="1" a="1"/>
  <c r="BW217" i="1" s="1"/>
  <c r="BW218" i="1" a="1"/>
  <c r="BW218" i="1" s="1"/>
  <c r="BW219" i="1" a="1"/>
  <c r="BW219" i="1" s="1"/>
  <c r="BW220" i="1" a="1"/>
  <c r="BW220" i="1" s="1"/>
  <c r="BW221" i="1" a="1"/>
  <c r="BW221" i="1" s="1"/>
  <c r="BW222" i="1" a="1"/>
  <c r="BW222" i="1" s="1"/>
  <c r="BW223" i="1" a="1"/>
  <c r="BW223" i="1" s="1"/>
  <c r="BW224" i="1" a="1"/>
  <c r="BW224" i="1" s="1"/>
  <c r="BW225" i="1" a="1"/>
  <c r="BW225" i="1" s="1"/>
  <c r="BW226" i="1" a="1"/>
  <c r="BW226" i="1" s="1"/>
  <c r="BW227" i="1" a="1"/>
  <c r="BW227" i="1" s="1"/>
  <c r="BW228" i="1" a="1"/>
  <c r="BW228" i="1" s="1"/>
  <c r="BW229" i="1" a="1"/>
  <c r="BW229" i="1" s="1"/>
  <c r="BW230" i="1" a="1"/>
  <c r="BW230" i="1" s="1"/>
  <c r="BW231" i="1" a="1"/>
  <c r="BW231" i="1" s="1"/>
  <c r="BW232" i="1" a="1"/>
  <c r="BW232" i="1" s="1"/>
  <c r="BW233" i="1" a="1"/>
  <c r="BW233" i="1" s="1"/>
  <c r="BW234" i="1" a="1"/>
  <c r="BW234" i="1" s="1"/>
  <c r="BW235" i="1" a="1"/>
  <c r="BW235" i="1" s="1"/>
  <c r="BW236" i="1" a="1"/>
  <c r="BW236" i="1" s="1"/>
  <c r="BW237" i="1" a="1"/>
  <c r="BW237" i="1" s="1"/>
  <c r="BW238" i="1" a="1"/>
  <c r="BW238" i="1" s="1"/>
  <c r="BW239" i="1" a="1"/>
  <c r="BW239" i="1" s="1"/>
  <c r="BW240" i="1" a="1"/>
  <c r="BW240" i="1" s="1"/>
  <c r="BW241" i="1" a="1"/>
  <c r="BW241" i="1" s="1"/>
  <c r="BW242" i="1" a="1"/>
  <c r="BW242" i="1" s="1"/>
  <c r="BW243" i="1" a="1"/>
  <c r="BW243" i="1" s="1"/>
  <c r="BW244" i="1" a="1"/>
  <c r="BW244" i="1" s="1"/>
  <c r="BW245" i="1" a="1"/>
  <c r="BW245" i="1" s="1"/>
  <c r="BW246" i="1" a="1"/>
  <c r="BW246" i="1" s="1"/>
  <c r="BW247" i="1" a="1"/>
  <c r="BW247" i="1" s="1"/>
  <c r="BW248" i="1" a="1"/>
  <c r="BW248" i="1" s="1"/>
  <c r="BW249" i="1" a="1"/>
  <c r="BW249" i="1" s="1"/>
  <c r="BW250" i="1" a="1"/>
  <c r="BW250" i="1" s="1"/>
  <c r="BW251" i="1" a="1"/>
  <c r="BW251" i="1" s="1"/>
  <c r="BW252" i="1" a="1"/>
  <c r="BW252" i="1" s="1"/>
  <c r="BW253" i="1" a="1"/>
  <c r="BW253" i="1" s="1"/>
  <c r="BW254" i="1" a="1"/>
  <c r="BW254" i="1" s="1"/>
  <c r="BW202" i="1" a="1"/>
  <c r="BW202" i="1" s="1"/>
  <c r="BW256" i="1" a="1"/>
  <c r="BW256" i="1" s="1"/>
  <c r="BW257" i="1" a="1"/>
  <c r="BW257" i="1" s="1"/>
  <c r="BW258" i="1" a="1"/>
  <c r="BW258" i="1" s="1"/>
  <c r="BW259" i="1" a="1"/>
  <c r="BW259" i="1" s="1"/>
  <c r="BW260" i="1" a="1"/>
  <c r="BW260" i="1" s="1"/>
  <c r="BW261" i="1" a="1"/>
  <c r="BW261" i="1" s="1"/>
  <c r="BW262" i="1" a="1"/>
  <c r="BW262" i="1" s="1"/>
  <c r="BW263" i="1" a="1"/>
  <c r="BW263" i="1" s="1"/>
  <c r="BW264" i="1" a="1"/>
  <c r="BW264" i="1" s="1"/>
  <c r="BW265" i="1" a="1"/>
  <c r="BW265" i="1" s="1"/>
  <c r="BW266" i="1" a="1"/>
  <c r="BW266" i="1" s="1"/>
  <c r="BW267" i="1" a="1"/>
  <c r="BW267" i="1" s="1"/>
  <c r="BW268" i="1" a="1"/>
  <c r="BW268" i="1" s="1"/>
  <c r="BW269" i="1" a="1"/>
  <c r="BW269" i="1" s="1"/>
  <c r="BW270" i="1" a="1"/>
  <c r="BW270" i="1" s="1"/>
  <c r="BW271" i="1" a="1"/>
  <c r="BW271" i="1" s="1"/>
  <c r="BX6" i="1" a="1"/>
  <c r="BX6" i="1" s="1"/>
  <c r="BX7" i="1" a="1"/>
  <c r="BX7" i="1" s="1"/>
  <c r="BX8" i="1" a="1"/>
  <c r="BX8" i="1" s="1"/>
  <c r="BX9" i="1" a="1"/>
  <c r="BX9" i="1" s="1"/>
  <c r="BX10" i="1" a="1"/>
  <c r="BX10" i="1" s="1"/>
  <c r="BX11" i="1" a="1"/>
  <c r="BX11" i="1" s="1"/>
  <c r="BX12" i="1" a="1"/>
  <c r="BX12" i="1" s="1"/>
  <c r="BX13" i="1" a="1"/>
  <c r="BX13" i="1" s="1"/>
  <c r="BX186" i="1" a="1"/>
  <c r="BX186" i="1" s="1"/>
  <c r="BX15" i="1" a="1"/>
  <c r="BX15" i="1" s="1"/>
  <c r="BX16" i="1" a="1"/>
  <c r="BX16" i="1" s="1"/>
  <c r="BX17" i="1" a="1"/>
  <c r="BX17" i="1" s="1"/>
  <c r="BX18" i="1" a="1"/>
  <c r="BX18" i="1" s="1"/>
  <c r="BX90" i="1" a="1"/>
  <c r="BX90" i="1" s="1"/>
  <c r="BX20" i="1" a="1"/>
  <c r="BX20" i="1" s="1"/>
  <c r="BX21" i="1" a="1"/>
  <c r="BX21" i="1" s="1"/>
  <c r="BX22" i="1" a="1"/>
  <c r="BX22" i="1" s="1"/>
  <c r="BX23" i="1" a="1"/>
  <c r="BX23" i="1" s="1"/>
  <c r="BX24" i="1" a="1"/>
  <c r="BX24" i="1" s="1"/>
  <c r="BX25" i="1" a="1"/>
  <c r="BX25" i="1" s="1"/>
  <c r="BX26" i="1" a="1"/>
  <c r="BX26" i="1" s="1"/>
  <c r="BX27" i="1" a="1"/>
  <c r="BX27" i="1" s="1"/>
  <c r="BX28" i="1" a="1"/>
  <c r="BX28" i="1" s="1"/>
  <c r="BX29" i="1" a="1"/>
  <c r="BX29" i="1" s="1"/>
  <c r="BX30" i="1" a="1"/>
  <c r="BX30" i="1" s="1"/>
  <c r="BX31" i="1" a="1"/>
  <c r="BX31" i="1" s="1"/>
  <c r="BX32" i="1" a="1"/>
  <c r="BX32" i="1" s="1"/>
  <c r="BX33" i="1" a="1"/>
  <c r="BX33" i="1" s="1"/>
  <c r="BX34" i="1" a="1"/>
  <c r="BX34" i="1" s="1"/>
  <c r="BX209" i="1" a="1"/>
  <c r="BX209" i="1" s="1"/>
  <c r="BX36" i="1" a="1"/>
  <c r="BX36" i="1" s="1"/>
  <c r="BX37" i="1" a="1"/>
  <c r="BX37" i="1" s="1"/>
  <c r="BX38" i="1" a="1"/>
  <c r="BX38" i="1" s="1"/>
  <c r="BX39" i="1" a="1"/>
  <c r="BX39" i="1" s="1"/>
  <c r="BX40" i="1" a="1"/>
  <c r="BX40" i="1" s="1"/>
  <c r="BX41" i="1" a="1"/>
  <c r="BX41" i="1" s="1"/>
  <c r="BX42" i="1" a="1"/>
  <c r="BX42" i="1" s="1"/>
  <c r="BX43" i="1" a="1"/>
  <c r="BX43" i="1" s="1"/>
  <c r="BX44" i="1" a="1"/>
  <c r="BX44" i="1" s="1"/>
  <c r="BX45" i="1" a="1"/>
  <c r="BX45" i="1" s="1"/>
  <c r="BX46" i="1" a="1"/>
  <c r="BX46" i="1" s="1"/>
  <c r="BX47" i="1" a="1"/>
  <c r="BX47" i="1" s="1"/>
  <c r="BX48" i="1" a="1"/>
  <c r="BX48" i="1" s="1"/>
  <c r="BX49" i="1" a="1"/>
  <c r="BX49" i="1" s="1"/>
  <c r="BX50" i="1" a="1"/>
  <c r="BX50" i="1" s="1"/>
  <c r="BX51" i="1" a="1"/>
  <c r="BX51" i="1" s="1"/>
  <c r="BX52" i="1" a="1"/>
  <c r="BX52" i="1" s="1"/>
  <c r="BX53" i="1" a="1"/>
  <c r="BX53" i="1" s="1"/>
  <c r="BX54" i="1" a="1"/>
  <c r="BX54" i="1" s="1"/>
  <c r="BX55" i="1" a="1"/>
  <c r="BX55" i="1" s="1"/>
  <c r="BX56" i="1" a="1"/>
  <c r="BX56" i="1" s="1"/>
  <c r="BX57" i="1" a="1"/>
  <c r="BX57" i="1" s="1"/>
  <c r="BX58" i="1" a="1"/>
  <c r="BX58" i="1" s="1"/>
  <c r="BX59" i="1" a="1"/>
  <c r="BX59" i="1" s="1"/>
  <c r="BX60" i="1" a="1"/>
  <c r="BX60" i="1" s="1"/>
  <c r="BX61" i="1" a="1"/>
  <c r="BX61" i="1" s="1"/>
  <c r="BX62" i="1" a="1"/>
  <c r="BX62" i="1" s="1"/>
  <c r="BX63" i="1" a="1"/>
  <c r="BX63" i="1" s="1"/>
  <c r="BX64" i="1" a="1"/>
  <c r="BX64" i="1" s="1"/>
  <c r="BX127" i="1" a="1"/>
  <c r="BX127" i="1" s="1"/>
  <c r="BX66" i="1" a="1"/>
  <c r="BX66" i="1" s="1"/>
  <c r="BX121" i="1" a="1"/>
  <c r="BX121" i="1" s="1"/>
  <c r="BX68" i="1" a="1"/>
  <c r="BX68" i="1" s="1"/>
  <c r="BX69" i="1" a="1"/>
  <c r="BX69" i="1" s="1"/>
  <c r="BX184" i="1" a="1"/>
  <c r="BX184" i="1" s="1"/>
  <c r="BX71" i="1" a="1"/>
  <c r="BX71" i="1" s="1"/>
  <c r="BX72" i="1" a="1"/>
  <c r="BX72" i="1" s="1"/>
  <c r="BX73" i="1" a="1"/>
  <c r="BX73" i="1" s="1"/>
  <c r="BX74" i="1" a="1"/>
  <c r="BX74" i="1" s="1"/>
  <c r="BX75" i="1" a="1"/>
  <c r="BX75" i="1" s="1"/>
  <c r="BX76" i="1" a="1"/>
  <c r="BX76" i="1" s="1"/>
  <c r="BX77" i="1" a="1"/>
  <c r="BX77" i="1" s="1"/>
  <c r="BX78" i="1" a="1"/>
  <c r="BX78" i="1" s="1"/>
  <c r="BX79" i="1" a="1"/>
  <c r="BX79" i="1" s="1"/>
  <c r="BX80" i="1" a="1"/>
  <c r="BX80" i="1" s="1"/>
  <c r="BX81" i="1" a="1"/>
  <c r="BX81" i="1" s="1"/>
  <c r="BX82" i="1" a="1"/>
  <c r="BX82" i="1" s="1"/>
  <c r="BX83" i="1" a="1"/>
  <c r="BX83" i="1" s="1"/>
  <c r="BX84" i="1" a="1"/>
  <c r="BX84" i="1" s="1"/>
  <c r="BX85" i="1" a="1"/>
  <c r="BX85" i="1" s="1"/>
  <c r="BX86" i="1" a="1"/>
  <c r="BX86" i="1" s="1"/>
  <c r="BX87" i="1" a="1"/>
  <c r="BX87" i="1" s="1"/>
  <c r="BX88" i="1" a="1"/>
  <c r="BX88" i="1" s="1"/>
  <c r="BX124" i="1" a="1"/>
  <c r="BX124" i="1" s="1"/>
  <c r="BX163" i="1" a="1"/>
  <c r="BX163" i="1" s="1"/>
  <c r="BX91" i="1" a="1"/>
  <c r="BX91" i="1" s="1"/>
  <c r="BX180" i="1" a="1"/>
  <c r="BX180" i="1" s="1"/>
  <c r="BX93" i="1" a="1"/>
  <c r="BX93" i="1" s="1"/>
  <c r="BX94" i="1" a="1"/>
  <c r="BX94" i="1" s="1"/>
  <c r="BX95" i="1" a="1"/>
  <c r="BX95" i="1" s="1"/>
  <c r="BX96" i="1" a="1"/>
  <c r="BX96" i="1" s="1"/>
  <c r="BX97" i="1" a="1"/>
  <c r="BX97" i="1" s="1"/>
  <c r="BX98" i="1" a="1"/>
  <c r="BX98" i="1" s="1"/>
  <c r="BX99" i="1" a="1"/>
  <c r="BX99" i="1" s="1"/>
  <c r="BX100" i="1" a="1"/>
  <c r="BX100" i="1" s="1"/>
  <c r="BX101" i="1" a="1"/>
  <c r="BX101" i="1" s="1"/>
  <c r="BX102" i="1" a="1"/>
  <c r="BX102" i="1" s="1"/>
  <c r="BX103" i="1" a="1"/>
  <c r="BX103" i="1" s="1"/>
  <c r="BX104" i="1" a="1"/>
  <c r="BX104" i="1" s="1"/>
  <c r="BX105" i="1" a="1"/>
  <c r="BX105" i="1" s="1"/>
  <c r="BX106" i="1" a="1"/>
  <c r="BX106" i="1" s="1"/>
  <c r="BX107" i="1" a="1"/>
  <c r="BX107" i="1" s="1"/>
  <c r="BX108" i="1" a="1"/>
  <c r="BX108" i="1" s="1"/>
  <c r="BX109" i="1" a="1"/>
  <c r="BX109" i="1" s="1"/>
  <c r="BX110" i="1" a="1"/>
  <c r="BX110" i="1" s="1"/>
  <c r="BX111" i="1" a="1"/>
  <c r="BX111" i="1" s="1"/>
  <c r="BX112" i="1" a="1"/>
  <c r="BX112" i="1" s="1"/>
  <c r="BX113" i="1" a="1"/>
  <c r="BX113" i="1" s="1"/>
  <c r="BX89" i="1" a="1"/>
  <c r="BX89" i="1" s="1"/>
  <c r="BX115" i="1" a="1"/>
  <c r="BX115" i="1" s="1"/>
  <c r="BX116" i="1" a="1"/>
  <c r="BX116" i="1" s="1"/>
  <c r="BX117" i="1" a="1"/>
  <c r="BX117" i="1" s="1"/>
  <c r="BX118" i="1" a="1"/>
  <c r="BX118" i="1" s="1"/>
  <c r="BX119" i="1" a="1"/>
  <c r="BX119" i="1" s="1"/>
  <c r="BX67" i="1" a="1"/>
  <c r="BX67" i="1" s="1"/>
  <c r="BX70" i="1" a="1"/>
  <c r="BX70" i="1" s="1"/>
  <c r="BX122" i="1" a="1"/>
  <c r="BX122" i="1" s="1"/>
  <c r="BX123" i="1" a="1"/>
  <c r="BX123" i="1" s="1"/>
  <c r="BX153" i="1" a="1"/>
  <c r="BX153" i="1" s="1"/>
  <c r="BX125" i="1" a="1"/>
  <c r="BX125" i="1" s="1"/>
  <c r="BX126" i="1" a="1"/>
  <c r="BX126" i="1" s="1"/>
  <c r="BX14" i="1" a="1"/>
  <c r="BX14" i="1" s="1"/>
  <c r="BX128" i="1" a="1"/>
  <c r="BX128" i="1" s="1"/>
  <c r="BX129" i="1" a="1"/>
  <c r="BX129" i="1" s="1"/>
  <c r="BX130" i="1" a="1"/>
  <c r="BX130" i="1" s="1"/>
  <c r="BX131" i="1" a="1"/>
  <c r="BX131" i="1" s="1"/>
  <c r="BX132" i="1" a="1"/>
  <c r="BX132" i="1" s="1"/>
  <c r="BX133" i="1" a="1"/>
  <c r="BX133" i="1" s="1"/>
  <c r="BX134" i="1" a="1"/>
  <c r="BX134" i="1" s="1"/>
  <c r="BX135" i="1" a="1"/>
  <c r="BX135" i="1" s="1"/>
  <c r="BX136" i="1" a="1"/>
  <c r="BX136" i="1" s="1"/>
  <c r="BX137" i="1" a="1"/>
  <c r="BX137" i="1" s="1"/>
  <c r="BX138" i="1" a="1"/>
  <c r="BX138" i="1" s="1"/>
  <c r="BX139" i="1" a="1"/>
  <c r="BX139" i="1" s="1"/>
  <c r="BX140" i="1" a="1"/>
  <c r="BX140" i="1" s="1"/>
  <c r="BX141" i="1" a="1"/>
  <c r="BX141" i="1" s="1"/>
  <c r="BX142" i="1" a="1"/>
  <c r="BX142" i="1" s="1"/>
  <c r="BX143" i="1" a="1"/>
  <c r="BX143" i="1" s="1"/>
  <c r="BX144" i="1" a="1"/>
  <c r="BX144" i="1" s="1"/>
  <c r="BX145" i="1" a="1"/>
  <c r="BX145" i="1" s="1"/>
  <c r="BX146" i="1" a="1"/>
  <c r="BX146" i="1" s="1"/>
  <c r="BX147" i="1" a="1"/>
  <c r="BX147" i="1" s="1"/>
  <c r="BX148" i="1" a="1"/>
  <c r="BX148" i="1" s="1"/>
  <c r="BX149" i="1" a="1"/>
  <c r="BX149" i="1" s="1"/>
  <c r="BX150" i="1" a="1"/>
  <c r="BX150" i="1" s="1"/>
  <c r="BX151" i="1" a="1"/>
  <c r="BX151" i="1" s="1"/>
  <c r="BX152" i="1" a="1"/>
  <c r="BX152" i="1" s="1"/>
  <c r="BX120" i="1" a="1"/>
  <c r="BX120" i="1" s="1"/>
  <c r="BX154" i="1" a="1"/>
  <c r="BX154" i="1" s="1"/>
  <c r="BX92" i="1" a="1"/>
  <c r="BX92" i="1" s="1"/>
  <c r="BX156" i="1" a="1"/>
  <c r="BX156" i="1" s="1"/>
  <c r="BX157" i="1" a="1"/>
  <c r="BX157" i="1" s="1"/>
  <c r="BX158" i="1" a="1"/>
  <c r="BX158" i="1" s="1"/>
  <c r="BX159" i="1" a="1"/>
  <c r="BX159" i="1" s="1"/>
  <c r="BX160" i="1" a="1"/>
  <c r="BX160" i="1" s="1"/>
  <c r="BX161" i="1" a="1"/>
  <c r="BX161" i="1" s="1"/>
  <c r="BX162" i="1" a="1"/>
  <c r="BX162" i="1" s="1"/>
  <c r="BX65" i="1" a="1"/>
  <c r="BX65" i="1" s="1"/>
  <c r="BX164" i="1" a="1"/>
  <c r="BX164" i="1" s="1"/>
  <c r="BX165" i="1" a="1"/>
  <c r="BX165" i="1" s="1"/>
  <c r="BX166" i="1" a="1"/>
  <c r="BX166" i="1" s="1"/>
  <c r="BX167" i="1" a="1"/>
  <c r="BX167" i="1" s="1"/>
  <c r="BX168" i="1" a="1"/>
  <c r="BX168" i="1" s="1"/>
  <c r="BX169" i="1" a="1"/>
  <c r="BX169" i="1" s="1"/>
  <c r="BX170" i="1" a="1"/>
  <c r="BX170" i="1" s="1"/>
  <c r="BX171" i="1" a="1"/>
  <c r="BX171" i="1" s="1"/>
  <c r="BX172" i="1" a="1"/>
  <c r="BX172" i="1" s="1"/>
  <c r="BX173" i="1" a="1"/>
  <c r="BX173" i="1" s="1"/>
  <c r="BX174" i="1" a="1"/>
  <c r="BX174" i="1" s="1"/>
  <c r="BX175" i="1" a="1"/>
  <c r="BX175" i="1" s="1"/>
  <c r="BX176" i="1" a="1"/>
  <c r="BX176" i="1" s="1"/>
  <c r="BX177" i="1" a="1"/>
  <c r="BX177" i="1" s="1"/>
  <c r="BX178" i="1" a="1"/>
  <c r="BX178" i="1" s="1"/>
  <c r="BX179" i="1" a="1"/>
  <c r="BX179" i="1" s="1"/>
  <c r="BX155" i="1" a="1"/>
  <c r="BX155" i="1" s="1"/>
  <c r="BX181" i="1" a="1"/>
  <c r="BX181" i="1" s="1"/>
  <c r="BX182" i="1" a="1"/>
  <c r="BX182" i="1" s="1"/>
  <c r="BX183" i="1" a="1"/>
  <c r="BX183" i="1" s="1"/>
  <c r="BX191" i="1" a="1"/>
  <c r="BX191" i="1" s="1"/>
  <c r="BX185" i="1" a="1"/>
  <c r="BX185" i="1" s="1"/>
  <c r="BX19" i="1" a="1"/>
  <c r="BX19" i="1" s="1"/>
  <c r="BX187" i="1" a="1"/>
  <c r="BX187" i="1" s="1"/>
  <c r="BX188" i="1" a="1"/>
  <c r="BX188" i="1" s="1"/>
  <c r="BX189" i="1" a="1"/>
  <c r="BX189" i="1" s="1"/>
  <c r="BX190" i="1" a="1"/>
  <c r="BX190" i="1" s="1"/>
  <c r="BX35" i="1" a="1"/>
  <c r="BX35" i="1" s="1"/>
  <c r="BX192" i="1" a="1"/>
  <c r="BX192" i="1" s="1"/>
  <c r="BX193" i="1" a="1"/>
  <c r="BX193" i="1" s="1"/>
  <c r="BX194" i="1" a="1"/>
  <c r="BX194" i="1" s="1"/>
  <c r="BX195" i="1" a="1"/>
  <c r="BX195" i="1" s="1"/>
  <c r="BX196" i="1" a="1"/>
  <c r="BX196" i="1" s="1"/>
  <c r="BX197" i="1" a="1"/>
  <c r="BX197" i="1" s="1"/>
  <c r="BX198" i="1" a="1"/>
  <c r="BX198" i="1" s="1"/>
  <c r="BX199" i="1" a="1"/>
  <c r="BX199" i="1" s="1"/>
  <c r="BX200" i="1" a="1"/>
  <c r="BX200" i="1" s="1"/>
  <c r="BX201" i="1" a="1"/>
  <c r="BX201" i="1" s="1"/>
  <c r="BX255" i="1" a="1"/>
  <c r="BX255" i="1" s="1"/>
  <c r="BX203" i="1" a="1"/>
  <c r="BX203" i="1" s="1"/>
  <c r="BX204" i="1" a="1"/>
  <c r="BX204" i="1" s="1"/>
  <c r="BX205" i="1" a="1"/>
  <c r="BX205" i="1" s="1"/>
  <c r="BX206" i="1" a="1"/>
  <c r="BX206" i="1" s="1"/>
  <c r="BX207" i="1" a="1"/>
  <c r="BX207" i="1" s="1"/>
  <c r="BX208" i="1" a="1"/>
  <c r="BX208" i="1" s="1"/>
  <c r="BX114" i="1" a="1"/>
  <c r="BX114" i="1" s="1"/>
  <c r="BX210" i="1" a="1"/>
  <c r="BX210" i="1" s="1"/>
  <c r="BX211" i="1" a="1"/>
  <c r="BX211" i="1" s="1"/>
  <c r="BX212" i="1" a="1"/>
  <c r="BX212" i="1" s="1"/>
  <c r="BX213" i="1" a="1"/>
  <c r="BX213" i="1" s="1"/>
  <c r="BX214" i="1" a="1"/>
  <c r="BX214" i="1" s="1"/>
  <c r="BX215" i="1" a="1"/>
  <c r="BX215" i="1" s="1"/>
  <c r="BX216" i="1" a="1"/>
  <c r="BX216" i="1" s="1"/>
  <c r="BX217" i="1" a="1"/>
  <c r="BX217" i="1" s="1"/>
  <c r="BX218" i="1" a="1"/>
  <c r="BX218" i="1" s="1"/>
  <c r="BX219" i="1" a="1"/>
  <c r="BX219" i="1" s="1"/>
  <c r="BX220" i="1" a="1"/>
  <c r="BX220" i="1" s="1"/>
  <c r="BX221" i="1" a="1"/>
  <c r="BX221" i="1" s="1"/>
  <c r="BX222" i="1" a="1"/>
  <c r="BX222" i="1" s="1"/>
  <c r="BX223" i="1" a="1"/>
  <c r="BX223" i="1" s="1"/>
  <c r="BX224" i="1" a="1"/>
  <c r="BX224" i="1" s="1"/>
  <c r="BX225" i="1" a="1"/>
  <c r="BX225" i="1" s="1"/>
  <c r="BX226" i="1" a="1"/>
  <c r="BX226" i="1" s="1"/>
  <c r="BX227" i="1" a="1"/>
  <c r="BX227" i="1" s="1"/>
  <c r="BX228" i="1" a="1"/>
  <c r="BX228" i="1" s="1"/>
  <c r="BX229" i="1" a="1"/>
  <c r="BX229" i="1" s="1"/>
  <c r="BX230" i="1" a="1"/>
  <c r="BX230" i="1" s="1"/>
  <c r="BX231" i="1" a="1"/>
  <c r="BX231" i="1" s="1"/>
  <c r="BX232" i="1" a="1"/>
  <c r="BX232" i="1" s="1"/>
  <c r="BX233" i="1" a="1"/>
  <c r="BX233" i="1" s="1"/>
  <c r="BX234" i="1" a="1"/>
  <c r="BX234" i="1" s="1"/>
  <c r="BX235" i="1" a="1"/>
  <c r="BX235" i="1" s="1"/>
  <c r="BX236" i="1" a="1"/>
  <c r="BX236" i="1" s="1"/>
  <c r="BX237" i="1" a="1"/>
  <c r="BX237" i="1" s="1"/>
  <c r="BX238" i="1" a="1"/>
  <c r="BX238" i="1" s="1"/>
  <c r="BX239" i="1" a="1"/>
  <c r="BX239" i="1" s="1"/>
  <c r="BX240" i="1" a="1"/>
  <c r="BX240" i="1" s="1"/>
  <c r="BX241" i="1" a="1"/>
  <c r="BX241" i="1" s="1"/>
  <c r="BX242" i="1" a="1"/>
  <c r="BX242" i="1" s="1"/>
  <c r="BX243" i="1" a="1"/>
  <c r="BX243" i="1" s="1"/>
  <c r="BX244" i="1" a="1"/>
  <c r="BX244" i="1" s="1"/>
  <c r="BX245" i="1" a="1"/>
  <c r="BX245" i="1" s="1"/>
  <c r="BX246" i="1" a="1"/>
  <c r="BX246" i="1" s="1"/>
  <c r="BX247" i="1" a="1"/>
  <c r="BX247" i="1" s="1"/>
  <c r="BX248" i="1" a="1"/>
  <c r="BX248" i="1" s="1"/>
  <c r="BX249" i="1" a="1"/>
  <c r="BX249" i="1" s="1"/>
  <c r="BX250" i="1" a="1"/>
  <c r="BX250" i="1" s="1"/>
  <c r="BX251" i="1" a="1"/>
  <c r="BX251" i="1" s="1"/>
  <c r="BX252" i="1" a="1"/>
  <c r="BX252" i="1" s="1"/>
  <c r="BX253" i="1" a="1"/>
  <c r="BX253" i="1" s="1"/>
  <c r="BX254" i="1" a="1"/>
  <c r="BX254" i="1" s="1"/>
  <c r="BX202" i="1" a="1"/>
  <c r="BX202" i="1" s="1"/>
  <c r="BX256" i="1" a="1"/>
  <c r="BX256" i="1" s="1"/>
  <c r="BX257" i="1" a="1"/>
  <c r="BX257" i="1" s="1"/>
  <c r="BX258" i="1" a="1"/>
  <c r="BX258" i="1" s="1"/>
  <c r="BX259" i="1" a="1"/>
  <c r="BX259" i="1" s="1"/>
  <c r="BX260" i="1" a="1"/>
  <c r="BX260" i="1" s="1"/>
  <c r="BX261" i="1" a="1"/>
  <c r="BX261" i="1" s="1"/>
  <c r="BX262" i="1" a="1"/>
  <c r="BX262" i="1" s="1"/>
  <c r="BX263" i="1" a="1"/>
  <c r="BX263" i="1" s="1"/>
  <c r="BX264" i="1" a="1"/>
  <c r="BX264" i="1" s="1"/>
  <c r="BX265" i="1" a="1"/>
  <c r="BX265" i="1" s="1"/>
  <c r="BX266" i="1" a="1"/>
  <c r="BX266" i="1" s="1"/>
  <c r="BX267" i="1" a="1"/>
  <c r="BX267" i="1" s="1"/>
  <c r="BX268" i="1" a="1"/>
  <c r="BX268" i="1" s="1"/>
  <c r="BX269" i="1" a="1"/>
  <c r="BX269" i="1" s="1"/>
  <c r="BX270" i="1" a="1"/>
  <c r="BX270" i="1" s="1"/>
  <c r="BX271" i="1" a="1"/>
  <c r="BX271" i="1" s="1"/>
  <c r="BO9" i="1" a="1"/>
  <c r="BO9" i="1" s="1"/>
  <c r="CB9" i="1" s="1"/>
  <c r="BO10" i="1" a="1"/>
  <c r="BO10" i="1" s="1"/>
  <c r="CB10" i="1" s="1"/>
  <c r="BO11" i="1" a="1"/>
  <c r="BO11" i="1" s="1"/>
  <c r="CB11" i="1" s="1"/>
  <c r="BO12" i="1" a="1"/>
  <c r="BO12" i="1" s="1"/>
  <c r="CB12" i="1" s="1"/>
  <c r="BO13" i="1" a="1"/>
  <c r="BO13" i="1" s="1"/>
  <c r="CB13" i="1" s="1"/>
  <c r="BO15" i="1" a="1"/>
  <c r="BO15" i="1" s="1"/>
  <c r="CB15" i="1" s="1"/>
  <c r="BO16" i="1" a="1"/>
  <c r="BO16" i="1" s="1"/>
  <c r="CB16" i="1" s="1"/>
  <c r="BO17" i="1" a="1"/>
  <c r="BO17" i="1" s="1"/>
  <c r="CB17" i="1" s="1"/>
  <c r="BO18" i="1" a="1"/>
  <c r="BO18" i="1" s="1"/>
  <c r="CB18" i="1" s="1"/>
  <c r="BO20" i="1" a="1"/>
  <c r="BO20" i="1" s="1"/>
  <c r="CB20" i="1" s="1"/>
  <c r="BO21" i="1" a="1"/>
  <c r="BO21" i="1" s="1"/>
  <c r="CB21" i="1" s="1"/>
  <c r="BO55" i="1" a="1"/>
  <c r="BO55" i="1" s="1"/>
  <c r="CB55" i="1" s="1"/>
  <c r="E13" i="9" l="1"/>
  <c r="E8" i="9"/>
  <c r="E232" i="9"/>
  <c r="E3" i="9"/>
  <c r="E241" i="9"/>
  <c r="E51" i="9"/>
  <c r="E7" i="9"/>
  <c r="E61" i="9"/>
  <c r="E4" i="9"/>
  <c r="E17" i="9"/>
  <c r="E16" i="9"/>
  <c r="E11" i="9"/>
  <c r="E6" i="9"/>
  <c r="E10" i="9"/>
  <c r="E234" i="9"/>
  <c r="E12" i="9"/>
  <c r="E14" i="9"/>
  <c r="E9" i="9"/>
  <c r="E5" i="9"/>
  <c r="E18" i="9"/>
  <c r="E117" i="9"/>
  <c r="DW8" i="1"/>
  <c r="BZ9" i="1"/>
  <c r="BZ245" i="1"/>
  <c r="BZ65" i="1"/>
  <c r="BZ7" i="1"/>
  <c r="BZ55" i="1"/>
  <c r="BZ17" i="1"/>
  <c r="BZ12" i="1"/>
  <c r="BZ8" i="1"/>
  <c r="BZ132" i="1"/>
  <c r="BZ13" i="1"/>
  <c r="BZ14" i="1"/>
  <c r="BZ238" i="1"/>
  <c r="BZ18" i="1"/>
  <c r="BZ21" i="1"/>
  <c r="BZ16" i="1"/>
  <c r="BZ11" i="1"/>
  <c r="BZ20" i="1"/>
  <c r="BZ15" i="1"/>
  <c r="BZ10" i="1"/>
  <c r="BZ236" i="1"/>
  <c r="BZ22" i="1"/>
  <c r="BZ121" i="1"/>
  <c r="EG13" i="1"/>
  <c r="EI13" i="1" s="1"/>
  <c r="EK13" i="1" s="1"/>
  <c r="EG7" i="1"/>
  <c r="EI7" i="1" s="1"/>
  <c r="EK7" i="1" s="1"/>
  <c r="EG55" i="1"/>
  <c r="EI55" i="1" s="1"/>
  <c r="EK55" i="1" s="1"/>
  <c r="EG21" i="1"/>
  <c r="EI21" i="1" s="1"/>
  <c r="EK21" i="1" s="1"/>
  <c r="EG16" i="1"/>
  <c r="EI16" i="1" s="1"/>
  <c r="EK16" i="1" s="1"/>
  <c r="EG12" i="1"/>
  <c r="EI12" i="1" s="1"/>
  <c r="EK12" i="1" s="1"/>
  <c r="EG245" i="1"/>
  <c r="EI245" i="1" s="1"/>
  <c r="EK245" i="1" s="1"/>
  <c r="EG17" i="1"/>
  <c r="EI17" i="1" s="1"/>
  <c r="EK17" i="1" s="1"/>
  <c r="EG20" i="1"/>
  <c r="EI20" i="1" s="1"/>
  <c r="EK20" i="1" s="1"/>
  <c r="EG14" i="1"/>
  <c r="EI14" i="1" s="1"/>
  <c r="EK14" i="1" s="1"/>
  <c r="EG8" i="1"/>
  <c r="EI8" i="1" s="1"/>
  <c r="EK8" i="1" s="1"/>
  <c r="EG132" i="1"/>
  <c r="EI132" i="1" s="1"/>
  <c r="EK132" i="1" s="1"/>
  <c r="EG9" i="1"/>
  <c r="EI9" i="1" s="1"/>
  <c r="EK9" i="1" s="1"/>
  <c r="EG65" i="1"/>
  <c r="EI65" i="1" s="1"/>
  <c r="EK65" i="1" s="1"/>
  <c r="EG15" i="1"/>
  <c r="EI15" i="1" s="1"/>
  <c r="EK15" i="1" s="1"/>
  <c r="EG11" i="1"/>
  <c r="EI11" i="1" s="1"/>
  <c r="EK11" i="1" s="1"/>
  <c r="EG18" i="1"/>
  <c r="EI18" i="1" s="1"/>
  <c r="EK18" i="1" s="1"/>
  <c r="EG10" i="1"/>
  <c r="EI10" i="1" s="1"/>
  <c r="EK10" i="1" s="1"/>
  <c r="EG236" i="1"/>
  <c r="EI236" i="1" s="1"/>
  <c r="EK236" i="1" s="1"/>
  <c r="EG22" i="1"/>
  <c r="EI22" i="1" s="1"/>
  <c r="EK22" i="1" s="1"/>
  <c r="EG238" i="1"/>
  <c r="EI238" i="1" s="1"/>
  <c r="EK238" i="1" s="1"/>
  <c r="EG121" i="1"/>
  <c r="EI121" i="1" s="1"/>
  <c r="EK121" i="1" s="1"/>
  <c r="EG186" i="1"/>
  <c r="EI186" i="1" s="1"/>
  <c r="EK186" i="1" s="1"/>
  <c r="EI90" i="1"/>
  <c r="EK90" i="1" s="1"/>
  <c r="BS73" i="1" a="1"/>
  <c r="BS73" i="1" s="1"/>
  <c r="BS74" i="1" a="1"/>
  <c r="BS74" i="1" s="1"/>
  <c r="BS75" i="1" a="1"/>
  <c r="BS75" i="1" s="1"/>
  <c r="BS76" i="1" a="1"/>
  <c r="BS76" i="1" s="1"/>
  <c r="BS77" i="1" a="1"/>
  <c r="BS77" i="1" s="1"/>
  <c r="BS78" i="1" a="1"/>
  <c r="BS78" i="1" s="1"/>
  <c r="BS79" i="1" a="1"/>
  <c r="BS79" i="1" s="1"/>
  <c r="BS80" i="1" a="1"/>
  <c r="BS80" i="1" s="1"/>
  <c r="BS81" i="1" a="1"/>
  <c r="BS81" i="1" s="1"/>
  <c r="BS82" i="1" a="1"/>
  <c r="BS82" i="1" s="1"/>
  <c r="BS83" i="1" a="1"/>
  <c r="BS83" i="1" s="1"/>
  <c r="BS84" i="1" a="1"/>
  <c r="BS84" i="1" s="1"/>
  <c r="BS85" i="1" a="1"/>
  <c r="BS85" i="1" s="1"/>
  <c r="BS86" i="1" a="1"/>
  <c r="BS86" i="1" s="1"/>
  <c r="BS87" i="1" a="1"/>
  <c r="BS87" i="1" s="1"/>
  <c r="BS88" i="1" a="1"/>
  <c r="BS88" i="1" s="1"/>
  <c r="BS124" i="1" a="1"/>
  <c r="BS124" i="1" s="1"/>
  <c r="BS163" i="1" a="1"/>
  <c r="BS163" i="1" s="1"/>
  <c r="BS91" i="1" a="1"/>
  <c r="BS91" i="1" s="1"/>
  <c r="BS180" i="1" a="1"/>
  <c r="BS180" i="1" s="1"/>
  <c r="BS93" i="1" a="1"/>
  <c r="BS93" i="1" s="1"/>
  <c r="BS94" i="1" a="1"/>
  <c r="BS94" i="1" s="1"/>
  <c r="BS95" i="1" a="1"/>
  <c r="BS95" i="1" s="1"/>
  <c r="BS96" i="1" a="1"/>
  <c r="BS96" i="1" s="1"/>
  <c r="BS97" i="1" a="1"/>
  <c r="BS97" i="1" s="1"/>
  <c r="BS98" i="1" a="1"/>
  <c r="BS98" i="1" s="1"/>
  <c r="BS99" i="1" a="1"/>
  <c r="BS99" i="1" s="1"/>
  <c r="BS100" i="1" a="1"/>
  <c r="BS100" i="1" s="1"/>
  <c r="BS101" i="1" a="1"/>
  <c r="BS101" i="1" s="1"/>
  <c r="BS102" i="1" a="1"/>
  <c r="BS102" i="1" s="1"/>
  <c r="BS103" i="1" a="1"/>
  <c r="BS103" i="1" s="1"/>
  <c r="BS104" i="1" a="1"/>
  <c r="BS104" i="1" s="1"/>
  <c r="BS105" i="1" a="1"/>
  <c r="BS105" i="1" s="1"/>
  <c r="BS106" i="1" a="1"/>
  <c r="BS106" i="1" s="1"/>
  <c r="BS107" i="1" a="1"/>
  <c r="BS107" i="1" s="1"/>
  <c r="BS108" i="1" a="1"/>
  <c r="BS108" i="1" s="1"/>
  <c r="BS109" i="1" a="1"/>
  <c r="BS109" i="1" s="1"/>
  <c r="BS110" i="1" a="1"/>
  <c r="BS110" i="1" s="1"/>
  <c r="BS111" i="1" a="1"/>
  <c r="BS111" i="1" s="1"/>
  <c r="BS112" i="1" a="1"/>
  <c r="BS112" i="1" s="1"/>
  <c r="BS113" i="1" a="1"/>
  <c r="BS113" i="1" s="1"/>
  <c r="BS89" i="1" a="1"/>
  <c r="BS89" i="1" s="1"/>
  <c r="BS115" i="1" a="1"/>
  <c r="BS115" i="1" s="1"/>
  <c r="BS116" i="1" a="1"/>
  <c r="BS116" i="1" s="1"/>
  <c r="BS117" i="1" a="1"/>
  <c r="BS117" i="1" s="1"/>
  <c r="BS118" i="1" a="1"/>
  <c r="BS118" i="1" s="1"/>
  <c r="BS119" i="1" a="1"/>
  <c r="BS119" i="1" s="1"/>
  <c r="BS67" i="1" a="1"/>
  <c r="BS67" i="1" s="1"/>
  <c r="BS70" i="1" a="1"/>
  <c r="BS70" i="1" s="1"/>
  <c r="BS122" i="1" a="1"/>
  <c r="BS122" i="1" s="1"/>
  <c r="BS123" i="1" a="1"/>
  <c r="BS123" i="1" s="1"/>
  <c r="BS153" i="1" a="1"/>
  <c r="BS153" i="1" s="1"/>
  <c r="BS125" i="1" a="1"/>
  <c r="BS125" i="1" s="1"/>
  <c r="BS126" i="1" a="1"/>
  <c r="BS126" i="1" s="1"/>
  <c r="BS14" i="1" a="1"/>
  <c r="BS14" i="1" s="1"/>
  <c r="BS128" i="1" a="1"/>
  <c r="BS128" i="1" s="1"/>
  <c r="BS129" i="1" a="1"/>
  <c r="BS129" i="1" s="1"/>
  <c r="BS130" i="1" a="1"/>
  <c r="BS130" i="1" s="1"/>
  <c r="BS131" i="1" a="1"/>
  <c r="BS131" i="1" s="1"/>
  <c r="BS132" i="1" a="1"/>
  <c r="BS132" i="1" s="1"/>
  <c r="BS133" i="1" a="1"/>
  <c r="BS133" i="1" s="1"/>
  <c r="BS134" i="1" a="1"/>
  <c r="BS134" i="1" s="1"/>
  <c r="BS135" i="1" a="1"/>
  <c r="BS135" i="1" s="1"/>
  <c r="BS136" i="1" a="1"/>
  <c r="BS136" i="1" s="1"/>
  <c r="BS137" i="1" a="1"/>
  <c r="BS137" i="1" s="1"/>
  <c r="BS138" i="1" a="1"/>
  <c r="BS138" i="1" s="1"/>
  <c r="BS139" i="1" a="1"/>
  <c r="BS139" i="1" s="1"/>
  <c r="BS140" i="1" a="1"/>
  <c r="BS140" i="1" s="1"/>
  <c r="BS141" i="1" a="1"/>
  <c r="BS141" i="1" s="1"/>
  <c r="BS142" i="1" a="1"/>
  <c r="BS142" i="1" s="1"/>
  <c r="BS143" i="1" a="1"/>
  <c r="BS143" i="1" s="1"/>
  <c r="BS144" i="1" a="1"/>
  <c r="BS144" i="1" s="1"/>
  <c r="BS145" i="1" a="1"/>
  <c r="BS145" i="1" s="1"/>
  <c r="BS146" i="1" a="1"/>
  <c r="BS146" i="1" s="1"/>
  <c r="BS147" i="1" a="1"/>
  <c r="BS147" i="1" s="1"/>
  <c r="BS148" i="1" a="1"/>
  <c r="BS148" i="1" s="1"/>
  <c r="BS149" i="1" a="1"/>
  <c r="BS149" i="1" s="1"/>
  <c r="BS150" i="1" a="1"/>
  <c r="BS150" i="1" s="1"/>
  <c r="BS151" i="1" a="1"/>
  <c r="BS151" i="1" s="1"/>
  <c r="BS152" i="1" a="1"/>
  <c r="BS152" i="1" s="1"/>
  <c r="BS120" i="1" a="1"/>
  <c r="BS120" i="1" s="1"/>
  <c r="BS154" i="1" a="1"/>
  <c r="BS154" i="1" s="1"/>
  <c r="BS92" i="1" a="1"/>
  <c r="BS92" i="1" s="1"/>
  <c r="BS156" i="1" a="1"/>
  <c r="BS156" i="1" s="1"/>
  <c r="BS157" i="1" a="1"/>
  <c r="BS157" i="1" s="1"/>
  <c r="BS158" i="1" a="1"/>
  <c r="BS158" i="1" s="1"/>
  <c r="BS159" i="1" a="1"/>
  <c r="BS159" i="1" s="1"/>
  <c r="BS160" i="1" a="1"/>
  <c r="BS160" i="1" s="1"/>
  <c r="BS161" i="1" a="1"/>
  <c r="BS161" i="1" s="1"/>
  <c r="BS162" i="1" a="1"/>
  <c r="BS162" i="1" s="1"/>
  <c r="BS65" i="1" a="1"/>
  <c r="BS65" i="1" s="1"/>
  <c r="BS164" i="1" a="1"/>
  <c r="BS164" i="1" s="1"/>
  <c r="BS165" i="1" a="1"/>
  <c r="BS165" i="1" s="1"/>
  <c r="BS166" i="1" a="1"/>
  <c r="BS166" i="1" s="1"/>
  <c r="BS167" i="1" a="1"/>
  <c r="BS167" i="1" s="1"/>
  <c r="BS168" i="1" a="1"/>
  <c r="BS168" i="1" s="1"/>
  <c r="BS169" i="1" a="1"/>
  <c r="BS169" i="1" s="1"/>
  <c r="BS170" i="1" a="1"/>
  <c r="BS170" i="1" s="1"/>
  <c r="BS171" i="1" a="1"/>
  <c r="BS171" i="1" s="1"/>
  <c r="BS172" i="1" a="1"/>
  <c r="BS172" i="1" s="1"/>
  <c r="BS173" i="1" a="1"/>
  <c r="BS173" i="1" s="1"/>
  <c r="BS174" i="1" a="1"/>
  <c r="BS174" i="1" s="1"/>
  <c r="BS175" i="1" a="1"/>
  <c r="BS175" i="1" s="1"/>
  <c r="BS176" i="1" a="1"/>
  <c r="BS176" i="1" s="1"/>
  <c r="BS177" i="1" a="1"/>
  <c r="BS177" i="1" s="1"/>
  <c r="BS178" i="1" a="1"/>
  <c r="BS178" i="1" s="1"/>
  <c r="BS179" i="1" a="1"/>
  <c r="BS179" i="1" s="1"/>
  <c r="BS155" i="1" a="1"/>
  <c r="BS155" i="1" s="1"/>
  <c r="BS181" i="1" a="1"/>
  <c r="BS181" i="1" s="1"/>
  <c r="BS182" i="1" a="1"/>
  <c r="BS182" i="1" s="1"/>
  <c r="BS183" i="1" a="1"/>
  <c r="BS183" i="1" s="1"/>
  <c r="BS191" i="1" a="1"/>
  <c r="BS191" i="1" s="1"/>
  <c r="BS185" i="1" a="1"/>
  <c r="BS185" i="1" s="1"/>
  <c r="BS19" i="1" a="1"/>
  <c r="BS19" i="1" s="1"/>
  <c r="BS187" i="1" a="1"/>
  <c r="BS187" i="1" s="1"/>
  <c r="BS188" i="1" a="1"/>
  <c r="BS188" i="1" s="1"/>
  <c r="BS189" i="1" a="1"/>
  <c r="BS189" i="1" s="1"/>
  <c r="BS190" i="1" a="1"/>
  <c r="BS190" i="1" s="1"/>
  <c r="BS35" i="1" a="1"/>
  <c r="BS35" i="1" s="1"/>
  <c r="BS192" i="1" a="1"/>
  <c r="BS192" i="1" s="1"/>
  <c r="BS193" i="1" a="1"/>
  <c r="BS193" i="1" s="1"/>
  <c r="BS194" i="1" a="1"/>
  <c r="BS194" i="1" s="1"/>
  <c r="BS195" i="1" a="1"/>
  <c r="BS195" i="1" s="1"/>
  <c r="BS196" i="1" a="1"/>
  <c r="BS196" i="1" s="1"/>
  <c r="BS197" i="1" a="1"/>
  <c r="BS197" i="1" s="1"/>
  <c r="BS198" i="1" a="1"/>
  <c r="BS198" i="1" s="1"/>
  <c r="BS199" i="1" a="1"/>
  <c r="BS199" i="1" s="1"/>
  <c r="BS200" i="1" a="1"/>
  <c r="BS200" i="1" s="1"/>
  <c r="BS201" i="1" a="1"/>
  <c r="BS201" i="1" s="1"/>
  <c r="BS255" i="1" a="1"/>
  <c r="BS255" i="1" s="1"/>
  <c r="BS203" i="1" a="1"/>
  <c r="BS203" i="1" s="1"/>
  <c r="BS204" i="1" a="1"/>
  <c r="BS204" i="1" s="1"/>
  <c r="BS205" i="1" a="1"/>
  <c r="BS205" i="1" s="1"/>
  <c r="BS206" i="1" a="1"/>
  <c r="BS206" i="1" s="1"/>
  <c r="BS207" i="1" a="1"/>
  <c r="BS207" i="1" s="1"/>
  <c r="BS208" i="1" a="1"/>
  <c r="BS208" i="1" s="1"/>
  <c r="BS114" i="1" a="1"/>
  <c r="BS114" i="1" s="1"/>
  <c r="BS210" i="1" a="1"/>
  <c r="BS210" i="1" s="1"/>
  <c r="BS211" i="1" a="1"/>
  <c r="BS211" i="1" s="1"/>
  <c r="BS212" i="1" a="1"/>
  <c r="BS212" i="1" s="1"/>
  <c r="BS213" i="1" a="1"/>
  <c r="BS213" i="1" s="1"/>
  <c r="BS214" i="1" a="1"/>
  <c r="BS214" i="1" s="1"/>
  <c r="BS215" i="1" a="1"/>
  <c r="BS215" i="1" s="1"/>
  <c r="BS216" i="1" a="1"/>
  <c r="BS216" i="1" s="1"/>
  <c r="BS217" i="1" a="1"/>
  <c r="BS217" i="1" s="1"/>
  <c r="BS218" i="1" a="1"/>
  <c r="BS218" i="1" s="1"/>
  <c r="BS219" i="1" a="1"/>
  <c r="BS219" i="1" s="1"/>
  <c r="BS220" i="1" a="1"/>
  <c r="BS220" i="1" s="1"/>
  <c r="BS221" i="1" a="1"/>
  <c r="BS221" i="1" s="1"/>
  <c r="BS222" i="1" a="1"/>
  <c r="BS222" i="1" s="1"/>
  <c r="BS223" i="1" a="1"/>
  <c r="BS223" i="1" s="1"/>
  <c r="BS224" i="1" a="1"/>
  <c r="BS224" i="1" s="1"/>
  <c r="BS225" i="1" a="1"/>
  <c r="BS225" i="1" s="1"/>
  <c r="BS226" i="1" a="1"/>
  <c r="BS226" i="1" s="1"/>
  <c r="BS227" i="1" a="1"/>
  <c r="BS227" i="1" s="1"/>
  <c r="BS228" i="1" a="1"/>
  <c r="BS228" i="1" s="1"/>
  <c r="BS229" i="1" a="1"/>
  <c r="BS229" i="1" s="1"/>
  <c r="BS230" i="1" a="1"/>
  <c r="BS230" i="1" s="1"/>
  <c r="BS231" i="1" a="1"/>
  <c r="BS231" i="1" s="1"/>
  <c r="BS232" i="1" a="1"/>
  <c r="BS232" i="1" s="1"/>
  <c r="BS233" i="1" a="1"/>
  <c r="BS233" i="1" s="1"/>
  <c r="BS234" i="1" a="1"/>
  <c r="BS234" i="1" s="1"/>
  <c r="BS235" i="1" a="1"/>
  <c r="BS235" i="1" s="1"/>
  <c r="BS236" i="1" a="1"/>
  <c r="BS236" i="1" s="1"/>
  <c r="BS237" i="1" a="1"/>
  <c r="BS237" i="1" s="1"/>
  <c r="BS238" i="1" a="1"/>
  <c r="BS238" i="1" s="1"/>
  <c r="BS239" i="1" a="1"/>
  <c r="BS239" i="1" s="1"/>
  <c r="BS240" i="1" a="1"/>
  <c r="BS240" i="1" s="1"/>
  <c r="BS241" i="1" a="1"/>
  <c r="BS241" i="1" s="1"/>
  <c r="BS242" i="1" a="1"/>
  <c r="BS242" i="1" s="1"/>
  <c r="BS243" i="1" a="1"/>
  <c r="BS243" i="1" s="1"/>
  <c r="BS244" i="1" a="1"/>
  <c r="BS244" i="1" s="1"/>
  <c r="BS245" i="1" a="1"/>
  <c r="BS245" i="1" s="1"/>
  <c r="BS246" i="1" a="1"/>
  <c r="BS246" i="1" s="1"/>
  <c r="BS247" i="1" a="1"/>
  <c r="BS247" i="1" s="1"/>
  <c r="BS248" i="1" a="1"/>
  <c r="BS248" i="1" s="1"/>
  <c r="BS249" i="1" a="1"/>
  <c r="BS249" i="1" s="1"/>
  <c r="BS250" i="1" a="1"/>
  <c r="BS250" i="1" s="1"/>
  <c r="BS251" i="1" a="1"/>
  <c r="BS251" i="1" s="1"/>
  <c r="BS252" i="1" a="1"/>
  <c r="BS252" i="1" s="1"/>
  <c r="BS253" i="1" a="1"/>
  <c r="BS253" i="1" s="1"/>
  <c r="BS254" i="1" a="1"/>
  <c r="BS254" i="1" s="1"/>
  <c r="BS202" i="1" a="1"/>
  <c r="BS202" i="1" s="1"/>
  <c r="BS256" i="1" a="1"/>
  <c r="BS256" i="1" s="1"/>
  <c r="BS257" i="1" a="1"/>
  <c r="BS257" i="1" s="1"/>
  <c r="BS258" i="1" a="1"/>
  <c r="BS258" i="1" s="1"/>
  <c r="BS259" i="1" a="1"/>
  <c r="BS259" i="1" s="1"/>
  <c r="BS260" i="1" a="1"/>
  <c r="BS260" i="1" s="1"/>
  <c r="BS261" i="1" a="1"/>
  <c r="BS261" i="1" s="1"/>
  <c r="BS262" i="1" a="1"/>
  <c r="BS262" i="1" s="1"/>
  <c r="BS263" i="1" a="1"/>
  <c r="BS263" i="1" s="1"/>
  <c r="BS264" i="1" a="1"/>
  <c r="BS264" i="1" s="1"/>
  <c r="BS265" i="1" a="1"/>
  <c r="BS265" i="1" s="1"/>
  <c r="BS266" i="1" a="1"/>
  <c r="BS266" i="1" s="1"/>
  <c r="BS267" i="1" a="1"/>
  <c r="BS267" i="1" s="1"/>
  <c r="BS268" i="1" a="1"/>
  <c r="BS268" i="1" s="1"/>
  <c r="BS269" i="1" a="1"/>
  <c r="BS269" i="1" s="1"/>
  <c r="BS270" i="1" a="1"/>
  <c r="BS270" i="1" s="1"/>
  <c r="BS271" i="1" a="1"/>
  <c r="BS271" i="1" s="1"/>
  <c r="BS6" i="1" a="1"/>
  <c r="BS6" i="1" s="1"/>
  <c r="BS7" i="1" a="1"/>
  <c r="BS7" i="1" s="1"/>
  <c r="BS8" i="1" a="1"/>
  <c r="BS8" i="1" s="1"/>
  <c r="BS9" i="1" a="1"/>
  <c r="BS9" i="1" s="1"/>
  <c r="BS10" i="1" a="1"/>
  <c r="BS10" i="1" s="1"/>
  <c r="BS11" i="1" a="1"/>
  <c r="BS11" i="1" s="1"/>
  <c r="BS12" i="1" a="1"/>
  <c r="BS12" i="1" s="1"/>
  <c r="BS13" i="1" a="1"/>
  <c r="BS13" i="1" s="1"/>
  <c r="BS15" i="1" a="1"/>
  <c r="BS15" i="1" s="1"/>
  <c r="BS16" i="1" a="1"/>
  <c r="BS16" i="1" s="1"/>
  <c r="BS17" i="1" a="1"/>
  <c r="BS17" i="1" s="1"/>
  <c r="BS18" i="1" a="1"/>
  <c r="BS18" i="1" s="1"/>
  <c r="BS90" i="1" a="1"/>
  <c r="BS90" i="1" s="1"/>
  <c r="BS20" i="1" a="1"/>
  <c r="BS20" i="1" s="1"/>
  <c r="BS21" i="1" a="1"/>
  <c r="BS21" i="1" s="1"/>
  <c r="BS22" i="1" a="1"/>
  <c r="BS22" i="1" s="1"/>
  <c r="BS23" i="1" a="1"/>
  <c r="BS23" i="1" s="1"/>
  <c r="BS24" i="1" a="1"/>
  <c r="BS24" i="1" s="1"/>
  <c r="BS25" i="1" a="1"/>
  <c r="BS25" i="1" s="1"/>
  <c r="BS26" i="1" a="1"/>
  <c r="BS26" i="1" s="1"/>
  <c r="BS27" i="1" a="1"/>
  <c r="BS27" i="1" s="1"/>
  <c r="BS28" i="1" a="1"/>
  <c r="BS28" i="1" s="1"/>
  <c r="BS29" i="1" a="1"/>
  <c r="BS29" i="1" s="1"/>
  <c r="BS30" i="1" a="1"/>
  <c r="BS30" i="1" s="1"/>
  <c r="BS31" i="1" a="1"/>
  <c r="BS31" i="1" s="1"/>
  <c r="BS32" i="1" a="1"/>
  <c r="BS32" i="1" s="1"/>
  <c r="BS33" i="1" a="1"/>
  <c r="BS33" i="1" s="1"/>
  <c r="BS34" i="1" a="1"/>
  <c r="BS34" i="1" s="1"/>
  <c r="BS209" i="1" a="1"/>
  <c r="BS209" i="1" s="1"/>
  <c r="BS36" i="1" a="1"/>
  <c r="BS36" i="1" s="1"/>
  <c r="BS37" i="1" a="1"/>
  <c r="BS37" i="1" s="1"/>
  <c r="BS38" i="1" a="1"/>
  <c r="BS38" i="1" s="1"/>
  <c r="BS39" i="1" a="1"/>
  <c r="BS39" i="1" s="1"/>
  <c r="BS40" i="1" a="1"/>
  <c r="BS40" i="1" s="1"/>
  <c r="BS41" i="1" a="1"/>
  <c r="BS41" i="1" s="1"/>
  <c r="BS42" i="1" a="1"/>
  <c r="BS42" i="1" s="1"/>
  <c r="BS43" i="1" a="1"/>
  <c r="BS43" i="1" s="1"/>
  <c r="BS44" i="1" a="1"/>
  <c r="BS44" i="1" s="1"/>
  <c r="BS45" i="1" a="1"/>
  <c r="BS45" i="1" s="1"/>
  <c r="BS46" i="1" a="1"/>
  <c r="BS46" i="1" s="1"/>
  <c r="BS47" i="1" a="1"/>
  <c r="BS47" i="1" s="1"/>
  <c r="BS48" i="1" a="1"/>
  <c r="BS48" i="1" s="1"/>
  <c r="BS49" i="1" a="1"/>
  <c r="BS49" i="1" s="1"/>
  <c r="BS50" i="1" a="1"/>
  <c r="BS50" i="1" s="1"/>
  <c r="BS51" i="1" a="1"/>
  <c r="BS51" i="1" s="1"/>
  <c r="BS52" i="1" a="1"/>
  <c r="BS52" i="1" s="1"/>
  <c r="BS53" i="1" a="1"/>
  <c r="BS53" i="1" s="1"/>
  <c r="BS54" i="1" a="1"/>
  <c r="BS54" i="1" s="1"/>
  <c r="BS55" i="1" a="1"/>
  <c r="BS55" i="1" s="1"/>
  <c r="BS56" i="1" a="1"/>
  <c r="BS56" i="1" s="1"/>
  <c r="BS57" i="1" a="1"/>
  <c r="BS57" i="1" s="1"/>
  <c r="BS58" i="1" a="1"/>
  <c r="BS58" i="1" s="1"/>
  <c r="BS59" i="1" a="1"/>
  <c r="BS59" i="1" s="1"/>
  <c r="BS60" i="1" a="1"/>
  <c r="BS60" i="1" s="1"/>
  <c r="BS61" i="1" a="1"/>
  <c r="BS61" i="1" s="1"/>
  <c r="BS62" i="1" a="1"/>
  <c r="BS62" i="1" s="1"/>
  <c r="BS63" i="1" a="1"/>
  <c r="BS63" i="1" s="1"/>
  <c r="BS64" i="1" a="1"/>
  <c r="BS64" i="1" s="1"/>
  <c r="BS127" i="1" a="1"/>
  <c r="BS127" i="1" s="1"/>
  <c r="BS66" i="1" a="1"/>
  <c r="BS66" i="1" s="1"/>
  <c r="BS121" i="1" a="1"/>
  <c r="BS121" i="1" s="1"/>
  <c r="BS68" i="1" a="1"/>
  <c r="BS68" i="1" s="1"/>
  <c r="BS69" i="1" a="1"/>
  <c r="BS69" i="1" s="1"/>
  <c r="BS184" i="1" a="1"/>
  <c r="BS184" i="1" s="1"/>
  <c r="BS71" i="1" a="1"/>
  <c r="BS71" i="1" s="1"/>
  <c r="BS72" i="1" a="1"/>
  <c r="BS72" i="1" s="1"/>
  <c r="DN6" i="1" a="1"/>
  <c r="DN6" i="1" s="1"/>
  <c r="CM6" i="1" l="1"/>
  <c r="CQ6" i="1" l="1"/>
  <c r="CN6" i="1"/>
  <c r="CR6" i="1"/>
  <c r="CO6" i="1"/>
  <c r="CS6" i="1"/>
  <c r="DW180" i="1"/>
  <c r="CT6" i="1" l="1" a="1"/>
  <c r="CT6" i="1" s="1"/>
  <c r="CU6" i="1" a="1"/>
  <c r="CU6" i="1" s="1"/>
  <c r="DW90" i="1"/>
  <c r="CV6" i="1" l="1"/>
  <c r="CW6" i="1" l="1"/>
  <c r="DJ6" i="1"/>
  <c r="DC6" i="1"/>
  <c r="DD6" i="1"/>
  <c r="DF6" i="1"/>
  <c r="DE6" i="1"/>
  <c r="DA6" i="1"/>
  <c r="DB6" i="1"/>
  <c r="DH6" i="1"/>
  <c r="CZ6" i="1"/>
  <c r="CY6" i="1"/>
  <c r="DG6" i="1"/>
  <c r="DI6" i="1"/>
  <c r="CX6" i="1"/>
  <c r="DM6" i="1" l="1" a="1"/>
  <c r="DM6" i="1" s="1"/>
  <c r="DL6" i="1" a="1"/>
  <c r="DL6" i="1" s="1"/>
  <c r="DV6" i="1" l="1"/>
  <c r="DP6" i="1"/>
  <c r="DQ6" i="1"/>
  <c r="DO6" i="1" l="1"/>
  <c r="DN7" i="1" a="1"/>
  <c r="DN7" i="1" s="1"/>
  <c r="DN8" i="1" a="1"/>
  <c r="DN8" i="1" s="1"/>
  <c r="DN9" i="1" a="1"/>
  <c r="DN9" i="1" s="1"/>
  <c r="DN10" i="1" a="1"/>
  <c r="DN10" i="1" s="1"/>
  <c r="DN11" i="1" a="1"/>
  <c r="DN11" i="1" s="1"/>
  <c r="DN12" i="1" a="1"/>
  <c r="DN12" i="1" s="1"/>
  <c r="DN13" i="1" a="1"/>
  <c r="DN13" i="1" s="1"/>
  <c r="DN186" i="1" a="1"/>
  <c r="DN186" i="1" s="1"/>
  <c r="DN15" i="1" a="1"/>
  <c r="DN15" i="1" s="1"/>
  <c r="DN16" i="1" a="1"/>
  <c r="DN16" i="1" s="1"/>
  <c r="DN17" i="1" a="1"/>
  <c r="DN17" i="1" s="1"/>
  <c r="DN18" i="1" a="1"/>
  <c r="DN18" i="1" s="1"/>
  <c r="DN90" i="1" a="1"/>
  <c r="DN90" i="1" s="1"/>
  <c r="DN20" i="1" a="1"/>
  <c r="DN20" i="1" s="1"/>
  <c r="DN21" i="1" a="1"/>
  <c r="DN21" i="1" s="1"/>
  <c r="DN22" i="1" a="1"/>
  <c r="DN22" i="1" s="1"/>
  <c r="DN23" i="1" a="1"/>
  <c r="DN23" i="1" s="1"/>
  <c r="DN24" i="1" a="1"/>
  <c r="DN24" i="1" s="1"/>
  <c r="DN25" i="1" a="1"/>
  <c r="DN25" i="1" s="1"/>
  <c r="DN26" i="1" a="1"/>
  <c r="DN26" i="1" s="1"/>
  <c r="DN27" i="1" a="1"/>
  <c r="DN27" i="1" s="1"/>
  <c r="DN28" i="1" a="1"/>
  <c r="DN28" i="1" s="1"/>
  <c r="DN29" i="1" a="1"/>
  <c r="DN29" i="1" s="1"/>
  <c r="DN30" i="1" a="1"/>
  <c r="DN30" i="1" s="1"/>
  <c r="DN31" i="1" a="1"/>
  <c r="DN31" i="1" s="1"/>
  <c r="DN32" i="1" a="1"/>
  <c r="DN32" i="1" s="1"/>
  <c r="DN33" i="1" a="1"/>
  <c r="DN33" i="1" s="1"/>
  <c r="DN34" i="1" a="1"/>
  <c r="DN34" i="1" s="1"/>
  <c r="DN209" i="1" a="1"/>
  <c r="DN209" i="1" s="1"/>
  <c r="DN36" i="1" a="1"/>
  <c r="DN36" i="1" s="1"/>
  <c r="DN37" i="1" a="1"/>
  <c r="DN37" i="1" s="1"/>
  <c r="DN38" i="1" a="1"/>
  <c r="DN38" i="1" s="1"/>
  <c r="DN39" i="1" a="1"/>
  <c r="DN39" i="1" s="1"/>
  <c r="DN40" i="1" a="1"/>
  <c r="DN40" i="1" s="1"/>
  <c r="DN41" i="1" a="1"/>
  <c r="DN41" i="1" s="1"/>
  <c r="DN42" i="1" a="1"/>
  <c r="DN42" i="1" s="1"/>
  <c r="DN43" i="1" a="1"/>
  <c r="DN43" i="1" s="1"/>
  <c r="DN44" i="1" a="1"/>
  <c r="DN44" i="1" s="1"/>
  <c r="DN45" i="1" a="1"/>
  <c r="DN45" i="1" s="1"/>
  <c r="DN46" i="1" a="1"/>
  <c r="DN46" i="1" s="1"/>
  <c r="DN47" i="1" a="1"/>
  <c r="DN47" i="1" s="1"/>
  <c r="DN48" i="1" a="1"/>
  <c r="DN48" i="1" s="1"/>
  <c r="DN49" i="1" a="1"/>
  <c r="DN49" i="1" s="1"/>
  <c r="DN50" i="1" a="1"/>
  <c r="DN50" i="1" s="1"/>
  <c r="DN51" i="1" a="1"/>
  <c r="DN51" i="1" s="1"/>
  <c r="DN52" i="1" a="1"/>
  <c r="DN52" i="1" s="1"/>
  <c r="DN53" i="1" a="1"/>
  <c r="DN53" i="1" s="1"/>
  <c r="DN54" i="1" a="1"/>
  <c r="DN54" i="1" s="1"/>
  <c r="DN55" i="1" a="1"/>
  <c r="DN55" i="1" s="1"/>
  <c r="DN56" i="1" a="1"/>
  <c r="DN56" i="1" s="1"/>
  <c r="DN57" i="1" a="1"/>
  <c r="DN57" i="1" s="1"/>
  <c r="DN58" i="1" a="1"/>
  <c r="DN58" i="1" s="1"/>
  <c r="DN59" i="1" a="1"/>
  <c r="DN59" i="1" s="1"/>
  <c r="DN60" i="1" a="1"/>
  <c r="DN60" i="1" s="1"/>
  <c r="DN61" i="1" a="1"/>
  <c r="DN61" i="1" s="1"/>
  <c r="DN62" i="1" a="1"/>
  <c r="DN62" i="1" s="1"/>
  <c r="DN63" i="1" a="1"/>
  <c r="DN63" i="1" s="1"/>
  <c r="DN64" i="1" a="1"/>
  <c r="DN64" i="1" s="1"/>
  <c r="DN127" i="1" a="1"/>
  <c r="DN127" i="1" s="1"/>
  <c r="DN66" i="1" a="1"/>
  <c r="DN66" i="1" s="1"/>
  <c r="DN121" i="1" a="1"/>
  <c r="DN121" i="1" s="1"/>
  <c r="DN68" i="1" a="1"/>
  <c r="DN68" i="1" s="1"/>
  <c r="DN69" i="1" a="1"/>
  <c r="DN69" i="1" s="1"/>
  <c r="DN184" i="1" a="1"/>
  <c r="DN184" i="1" s="1"/>
  <c r="DN71" i="1" a="1"/>
  <c r="DN71" i="1" s="1"/>
  <c r="DN72" i="1" a="1"/>
  <c r="DN72" i="1" s="1"/>
  <c r="DN73" i="1" a="1"/>
  <c r="DN73" i="1" s="1"/>
  <c r="DN74" i="1" a="1"/>
  <c r="DN74" i="1" s="1"/>
  <c r="DN75" i="1" a="1"/>
  <c r="DN75" i="1" s="1"/>
  <c r="DN76" i="1" a="1"/>
  <c r="DN76" i="1" s="1"/>
  <c r="DN77" i="1" a="1"/>
  <c r="DN77" i="1" s="1"/>
  <c r="DN78" i="1" a="1"/>
  <c r="DN78" i="1" s="1"/>
  <c r="DN79" i="1" a="1"/>
  <c r="DN79" i="1" s="1"/>
  <c r="DN80" i="1" a="1"/>
  <c r="DN80" i="1" s="1"/>
  <c r="DN81" i="1" a="1"/>
  <c r="DN81" i="1" s="1"/>
  <c r="DN82" i="1" a="1"/>
  <c r="DN82" i="1" s="1"/>
  <c r="DN83" i="1" a="1"/>
  <c r="DN83" i="1" s="1"/>
  <c r="DN84" i="1" a="1"/>
  <c r="DN84" i="1" s="1"/>
  <c r="DN85" i="1" a="1"/>
  <c r="DN85" i="1" s="1"/>
  <c r="DN86" i="1" a="1"/>
  <c r="DN86" i="1" s="1"/>
  <c r="DN87" i="1" a="1"/>
  <c r="DN87" i="1" s="1"/>
  <c r="DN88" i="1" a="1"/>
  <c r="DN88" i="1" s="1"/>
  <c r="DN124" i="1" a="1"/>
  <c r="DN124" i="1" s="1"/>
  <c r="DN163" i="1" a="1"/>
  <c r="DN163" i="1" s="1"/>
  <c r="DN91" i="1" a="1"/>
  <c r="DN91" i="1" s="1"/>
  <c r="DN93" i="1" a="1"/>
  <c r="DN93" i="1" s="1"/>
  <c r="DN94" i="1" a="1"/>
  <c r="DN94" i="1" s="1"/>
  <c r="DN95" i="1" a="1"/>
  <c r="DN95" i="1" s="1"/>
  <c r="DN96" i="1" a="1"/>
  <c r="DN96" i="1" s="1"/>
  <c r="DN97" i="1" a="1"/>
  <c r="DN97" i="1" s="1"/>
  <c r="DN98" i="1" a="1"/>
  <c r="DN98" i="1" s="1"/>
  <c r="DN99" i="1" a="1"/>
  <c r="DN99" i="1" s="1"/>
  <c r="DN100" i="1" a="1"/>
  <c r="DN100" i="1" s="1"/>
  <c r="DN101" i="1" a="1"/>
  <c r="DN101" i="1" s="1"/>
  <c r="DN102" i="1" a="1"/>
  <c r="DN102" i="1" s="1"/>
  <c r="DN103" i="1" a="1"/>
  <c r="DN103" i="1" s="1"/>
  <c r="DN104" i="1" a="1"/>
  <c r="DN104" i="1" s="1"/>
  <c r="DN105" i="1" a="1"/>
  <c r="DN105" i="1" s="1"/>
  <c r="DN106" i="1" a="1"/>
  <c r="DN106" i="1" s="1"/>
  <c r="DN107" i="1" a="1"/>
  <c r="DN107" i="1" s="1"/>
  <c r="DN108" i="1" a="1"/>
  <c r="DN108" i="1" s="1"/>
  <c r="DN109" i="1" a="1"/>
  <c r="DN109" i="1" s="1"/>
  <c r="DN110" i="1" a="1"/>
  <c r="DN110" i="1" s="1"/>
  <c r="DN111" i="1" a="1"/>
  <c r="DN111" i="1" s="1"/>
  <c r="DN112" i="1" a="1"/>
  <c r="DN112" i="1" s="1"/>
  <c r="DN113" i="1" a="1"/>
  <c r="DN113" i="1" s="1"/>
  <c r="DN89" i="1" a="1"/>
  <c r="DN89" i="1" s="1"/>
  <c r="DN115" i="1" a="1"/>
  <c r="DN115" i="1" s="1"/>
  <c r="DN116" i="1" a="1"/>
  <c r="DN116" i="1" s="1"/>
  <c r="DN117" i="1" a="1"/>
  <c r="DN117" i="1" s="1"/>
  <c r="DN118" i="1" a="1"/>
  <c r="DN118" i="1" s="1"/>
  <c r="DN119" i="1" a="1"/>
  <c r="DN119" i="1" s="1"/>
  <c r="DN67" i="1" a="1"/>
  <c r="DN67" i="1" s="1"/>
  <c r="DN70" i="1" a="1"/>
  <c r="DN70" i="1" s="1"/>
  <c r="DN122" i="1" a="1"/>
  <c r="DN122" i="1" s="1"/>
  <c r="DN123" i="1" a="1"/>
  <c r="DN123" i="1" s="1"/>
  <c r="DN153" i="1" a="1"/>
  <c r="DN153" i="1" s="1"/>
  <c r="DN125" i="1" a="1"/>
  <c r="DN125" i="1" s="1"/>
  <c r="DN126" i="1" a="1"/>
  <c r="DN126" i="1" s="1"/>
  <c r="DN14" i="1" a="1"/>
  <c r="DN14" i="1" s="1"/>
  <c r="DN128" i="1" a="1"/>
  <c r="DN128" i="1" s="1"/>
  <c r="DN129" i="1" a="1"/>
  <c r="DN129" i="1" s="1"/>
  <c r="DN130" i="1" a="1"/>
  <c r="DN130" i="1" s="1"/>
  <c r="DN131" i="1" a="1"/>
  <c r="DN131" i="1" s="1"/>
  <c r="DN132" i="1" a="1"/>
  <c r="DN132" i="1" s="1"/>
  <c r="DN133" i="1" a="1"/>
  <c r="DN133" i="1" s="1"/>
  <c r="DN134" i="1" a="1"/>
  <c r="DN134" i="1" s="1"/>
  <c r="DN135" i="1" a="1"/>
  <c r="DN135" i="1" s="1"/>
  <c r="DN136" i="1" a="1"/>
  <c r="DN136" i="1" s="1"/>
  <c r="DN137" i="1" a="1"/>
  <c r="DN137" i="1" s="1"/>
  <c r="DN138" i="1" a="1"/>
  <c r="DN138" i="1" s="1"/>
  <c r="DN139" i="1" a="1"/>
  <c r="DN139" i="1" s="1"/>
  <c r="DN140" i="1" a="1"/>
  <c r="DN140" i="1" s="1"/>
  <c r="DN141" i="1" a="1"/>
  <c r="DN141" i="1" s="1"/>
  <c r="DN142" i="1" a="1"/>
  <c r="DN142" i="1" s="1"/>
  <c r="DN143" i="1" a="1"/>
  <c r="DN143" i="1" s="1"/>
  <c r="DN144" i="1" a="1"/>
  <c r="DN144" i="1" s="1"/>
  <c r="DN145" i="1" a="1"/>
  <c r="DN145" i="1" s="1"/>
  <c r="DN146" i="1" a="1"/>
  <c r="DN146" i="1" s="1"/>
  <c r="DN147" i="1" a="1"/>
  <c r="DN147" i="1" s="1"/>
  <c r="DN148" i="1" a="1"/>
  <c r="DN148" i="1" s="1"/>
  <c r="DN149" i="1" a="1"/>
  <c r="DN149" i="1" s="1"/>
  <c r="DN150" i="1" a="1"/>
  <c r="DN150" i="1" s="1"/>
  <c r="DN151" i="1" a="1"/>
  <c r="DN151" i="1" s="1"/>
  <c r="DN152" i="1" a="1"/>
  <c r="DN152" i="1" s="1"/>
  <c r="DN120" i="1" a="1"/>
  <c r="DN120" i="1" s="1"/>
  <c r="DN154" i="1" a="1"/>
  <c r="DN154" i="1" s="1"/>
  <c r="DN92" i="1" a="1"/>
  <c r="DN92" i="1" s="1"/>
  <c r="DN156" i="1" a="1"/>
  <c r="DN156" i="1" s="1"/>
  <c r="DN157" i="1" a="1"/>
  <c r="DN157" i="1" s="1"/>
  <c r="DN158" i="1" a="1"/>
  <c r="DN158" i="1" s="1"/>
  <c r="DN159" i="1" a="1"/>
  <c r="DN159" i="1" s="1"/>
  <c r="DN160" i="1" a="1"/>
  <c r="DN160" i="1" s="1"/>
  <c r="DN161" i="1" a="1"/>
  <c r="DN161" i="1" s="1"/>
  <c r="DN162" i="1" a="1"/>
  <c r="DN162" i="1" s="1"/>
  <c r="DN65" i="1" a="1"/>
  <c r="DN65" i="1" s="1"/>
  <c r="DN164" i="1" a="1"/>
  <c r="DN164" i="1" s="1"/>
  <c r="DN165" i="1" a="1"/>
  <c r="DN165" i="1" s="1"/>
  <c r="DN166" i="1" a="1"/>
  <c r="DN166" i="1" s="1"/>
  <c r="DN167" i="1" a="1"/>
  <c r="DN167" i="1" s="1"/>
  <c r="DN168" i="1" a="1"/>
  <c r="DN168" i="1" s="1"/>
  <c r="DN169" i="1" a="1"/>
  <c r="DN169" i="1" s="1"/>
  <c r="DN170" i="1" a="1"/>
  <c r="DN170" i="1" s="1"/>
  <c r="DN171" i="1" a="1"/>
  <c r="DN171" i="1" s="1"/>
  <c r="DN172" i="1" a="1"/>
  <c r="DN172" i="1" s="1"/>
  <c r="DN173" i="1" a="1"/>
  <c r="DN173" i="1" s="1"/>
  <c r="DN174" i="1" a="1"/>
  <c r="DN174" i="1" s="1"/>
  <c r="DN175" i="1" a="1"/>
  <c r="DN175" i="1" s="1"/>
  <c r="DN176" i="1" a="1"/>
  <c r="DN176" i="1" s="1"/>
  <c r="DN177" i="1" a="1"/>
  <c r="DN177" i="1" s="1"/>
  <c r="DN178" i="1" a="1"/>
  <c r="DN178" i="1" s="1"/>
  <c r="DN179" i="1" a="1"/>
  <c r="DN179" i="1" s="1"/>
  <c r="DN155" i="1" a="1"/>
  <c r="DN155" i="1" s="1"/>
  <c r="DN181" i="1" a="1"/>
  <c r="DN181" i="1" s="1"/>
  <c r="DN182" i="1" a="1"/>
  <c r="DN182" i="1" s="1"/>
  <c r="DN183" i="1" a="1"/>
  <c r="DN183" i="1" s="1"/>
  <c r="DN191" i="1" a="1"/>
  <c r="DN191" i="1" s="1"/>
  <c r="DN185" i="1" a="1"/>
  <c r="DN185" i="1" s="1"/>
  <c r="DN19" i="1" a="1"/>
  <c r="DN19" i="1" s="1"/>
  <c r="DN187" i="1" a="1"/>
  <c r="DN187" i="1" s="1"/>
  <c r="DN188" i="1" a="1"/>
  <c r="DN188" i="1" s="1"/>
  <c r="DN189" i="1" a="1"/>
  <c r="DN189" i="1" s="1"/>
  <c r="DN190" i="1" a="1"/>
  <c r="DN190" i="1" s="1"/>
  <c r="DN35" i="1" a="1"/>
  <c r="DN35" i="1" s="1"/>
  <c r="DN192" i="1" a="1"/>
  <c r="DN192" i="1" s="1"/>
  <c r="DN193" i="1" a="1"/>
  <c r="DN193" i="1" s="1"/>
  <c r="DN194" i="1" a="1"/>
  <c r="DN194" i="1" s="1"/>
  <c r="DN195" i="1" a="1"/>
  <c r="DN195" i="1" s="1"/>
  <c r="DN196" i="1" a="1"/>
  <c r="DN196" i="1" s="1"/>
  <c r="DN197" i="1" a="1"/>
  <c r="DN197" i="1" s="1"/>
  <c r="DN198" i="1" a="1"/>
  <c r="DN198" i="1" s="1"/>
  <c r="DN199" i="1" a="1"/>
  <c r="DN199" i="1" s="1"/>
  <c r="DN200" i="1" a="1"/>
  <c r="DN200" i="1" s="1"/>
  <c r="DN201" i="1" a="1"/>
  <c r="DN201" i="1" s="1"/>
  <c r="DN255" i="1" a="1"/>
  <c r="DN255" i="1" s="1"/>
  <c r="DN203" i="1" a="1"/>
  <c r="DN203" i="1" s="1"/>
  <c r="DN204" i="1" a="1"/>
  <c r="DN204" i="1" s="1"/>
  <c r="DN205" i="1" a="1"/>
  <c r="DN205" i="1" s="1"/>
  <c r="DN206" i="1" a="1"/>
  <c r="DN206" i="1" s="1"/>
  <c r="DN207" i="1" a="1"/>
  <c r="DN207" i="1" s="1"/>
  <c r="DN208" i="1" a="1"/>
  <c r="DN208" i="1" s="1"/>
  <c r="DN114" i="1" a="1"/>
  <c r="DN114" i="1" s="1"/>
  <c r="DN210" i="1" a="1"/>
  <c r="DN210" i="1" s="1"/>
  <c r="DN211" i="1" a="1"/>
  <c r="DN211" i="1" s="1"/>
  <c r="DN212" i="1" a="1"/>
  <c r="DN212" i="1" s="1"/>
  <c r="DN213" i="1" a="1"/>
  <c r="DN213" i="1" s="1"/>
  <c r="DN214" i="1" a="1"/>
  <c r="DN214" i="1" s="1"/>
  <c r="DN215" i="1" a="1"/>
  <c r="DN215" i="1" s="1"/>
  <c r="DN216" i="1" a="1"/>
  <c r="DN216" i="1" s="1"/>
  <c r="DN217" i="1" a="1"/>
  <c r="DN217" i="1" s="1"/>
  <c r="DN218" i="1" a="1"/>
  <c r="DN218" i="1" s="1"/>
  <c r="DN219" i="1" a="1"/>
  <c r="DN219" i="1" s="1"/>
  <c r="DN220" i="1" a="1"/>
  <c r="DN220" i="1" s="1"/>
  <c r="DN221" i="1" a="1"/>
  <c r="DN221" i="1" s="1"/>
  <c r="DN222" i="1" a="1"/>
  <c r="DN222" i="1" s="1"/>
  <c r="DN223" i="1" a="1"/>
  <c r="DN223" i="1" s="1"/>
  <c r="DN224" i="1" a="1"/>
  <c r="DN224" i="1" s="1"/>
  <c r="DN225" i="1" a="1"/>
  <c r="DN225" i="1" s="1"/>
  <c r="DN226" i="1" a="1"/>
  <c r="DN226" i="1" s="1"/>
  <c r="DN227" i="1" a="1"/>
  <c r="DN227" i="1" s="1"/>
  <c r="DN228" i="1" a="1"/>
  <c r="DN228" i="1" s="1"/>
  <c r="DN229" i="1" a="1"/>
  <c r="DN229" i="1" s="1"/>
  <c r="DN230" i="1" a="1"/>
  <c r="DN230" i="1" s="1"/>
  <c r="DN231" i="1" a="1"/>
  <c r="DN231" i="1" s="1"/>
  <c r="DN232" i="1" a="1"/>
  <c r="DN232" i="1" s="1"/>
  <c r="DN233" i="1" a="1"/>
  <c r="DN233" i="1" s="1"/>
  <c r="DN234" i="1" a="1"/>
  <c r="DN234" i="1" s="1"/>
  <c r="DN235" i="1" a="1"/>
  <c r="DN235" i="1" s="1"/>
  <c r="DN236" i="1" a="1"/>
  <c r="DN236" i="1" s="1"/>
  <c r="DN237" i="1" a="1"/>
  <c r="DN237" i="1" s="1"/>
  <c r="DN238" i="1" a="1"/>
  <c r="DN238" i="1" s="1"/>
  <c r="DN239" i="1" a="1"/>
  <c r="DN239" i="1" s="1"/>
  <c r="DN240" i="1" a="1"/>
  <c r="DN240" i="1" s="1"/>
  <c r="DN241" i="1" a="1"/>
  <c r="DN241" i="1" s="1"/>
  <c r="DN242" i="1" a="1"/>
  <c r="DN242" i="1" s="1"/>
  <c r="DN243" i="1" a="1"/>
  <c r="DN243" i="1" s="1"/>
  <c r="DN244" i="1" a="1"/>
  <c r="DN244" i="1" s="1"/>
  <c r="DN245" i="1" a="1"/>
  <c r="DN245" i="1" s="1"/>
  <c r="DN246" i="1" a="1"/>
  <c r="DN246" i="1" s="1"/>
  <c r="DN247" i="1" a="1"/>
  <c r="DN247" i="1" s="1"/>
  <c r="DN248" i="1" a="1"/>
  <c r="DN248" i="1" s="1"/>
  <c r="DN249" i="1" a="1"/>
  <c r="DN249" i="1" s="1"/>
  <c r="DN250" i="1" a="1"/>
  <c r="DN250" i="1" s="1"/>
  <c r="DN251" i="1" a="1"/>
  <c r="DN251" i="1" s="1"/>
  <c r="DN252" i="1" a="1"/>
  <c r="DN252" i="1" s="1"/>
  <c r="DN253" i="1" a="1"/>
  <c r="DN253" i="1" s="1"/>
  <c r="DN254" i="1" a="1"/>
  <c r="DN254" i="1" s="1"/>
  <c r="DN202" i="1" a="1"/>
  <c r="DN202" i="1" s="1"/>
  <c r="DN256" i="1" a="1"/>
  <c r="DN256" i="1" s="1"/>
  <c r="DN257" i="1" a="1"/>
  <c r="DN257" i="1" s="1"/>
  <c r="DN258" i="1" a="1"/>
  <c r="DN258" i="1" s="1"/>
  <c r="DN259" i="1" a="1"/>
  <c r="DN259" i="1" s="1"/>
  <c r="DN260" i="1" a="1"/>
  <c r="DN260" i="1" s="1"/>
  <c r="DN261" i="1" a="1"/>
  <c r="DN261" i="1" s="1"/>
  <c r="DN262" i="1" a="1"/>
  <c r="DN262" i="1" s="1"/>
  <c r="DN263" i="1" a="1"/>
  <c r="DN263" i="1" s="1"/>
  <c r="DN264" i="1" a="1"/>
  <c r="DN264" i="1" s="1"/>
  <c r="DN265" i="1" a="1"/>
  <c r="DN265" i="1" s="1"/>
  <c r="DN266" i="1" a="1"/>
  <c r="DN266" i="1" s="1"/>
  <c r="DN267" i="1" a="1"/>
  <c r="DN267" i="1" s="1"/>
  <c r="DN268" i="1" a="1"/>
  <c r="DN268" i="1" s="1"/>
  <c r="DN269" i="1" a="1"/>
  <c r="DN269" i="1" s="1"/>
  <c r="DN270" i="1" a="1"/>
  <c r="DN270" i="1" s="1"/>
  <c r="DN271" i="1" a="1"/>
  <c r="DN271" i="1" s="1"/>
  <c r="BO23" i="1" l="1" a="1"/>
  <c r="BO23" i="1" s="1"/>
  <c r="CB23" i="1" s="1"/>
  <c r="BO24" i="1" a="1"/>
  <c r="BO24" i="1" s="1"/>
  <c r="CB24" i="1" s="1"/>
  <c r="BO25" i="1" a="1"/>
  <c r="BO25" i="1" s="1"/>
  <c r="CB25" i="1" s="1"/>
  <c r="BO26" i="1" a="1"/>
  <c r="BO26" i="1" s="1"/>
  <c r="CB26" i="1" s="1"/>
  <c r="BO27" i="1" a="1"/>
  <c r="BO27" i="1" s="1"/>
  <c r="CB27" i="1" s="1"/>
  <c r="BO28" i="1" a="1"/>
  <c r="BO28" i="1" s="1"/>
  <c r="CB28" i="1" s="1"/>
  <c r="BO29" i="1" a="1"/>
  <c r="BO29" i="1" s="1"/>
  <c r="CB29" i="1" s="1"/>
  <c r="BO30" i="1" a="1"/>
  <c r="BO30" i="1" s="1"/>
  <c r="CB30" i="1" s="1"/>
  <c r="BO31" i="1" a="1"/>
  <c r="BO31" i="1" s="1"/>
  <c r="CB31" i="1" s="1"/>
  <c r="BO32" i="1" a="1"/>
  <c r="BO32" i="1" s="1"/>
  <c r="CB32" i="1" s="1"/>
  <c r="BO33" i="1" a="1"/>
  <c r="BO33" i="1" s="1"/>
  <c r="CB33" i="1" s="1"/>
  <c r="BO34" i="1" a="1"/>
  <c r="BO34" i="1" s="1"/>
  <c r="CB34" i="1" s="1"/>
  <c r="BO36" i="1" a="1"/>
  <c r="BO36" i="1" s="1"/>
  <c r="CB36" i="1" s="1"/>
  <c r="BO37" i="1" a="1"/>
  <c r="BO37" i="1" s="1"/>
  <c r="CB37" i="1" s="1"/>
  <c r="BO38" i="1" a="1"/>
  <c r="BO38" i="1" s="1"/>
  <c r="CB38" i="1" s="1"/>
  <c r="BO39" i="1" a="1"/>
  <c r="BO39" i="1" s="1"/>
  <c r="CB39" i="1" s="1"/>
  <c r="BO40" i="1" a="1"/>
  <c r="BO40" i="1" s="1"/>
  <c r="CB40" i="1" s="1"/>
  <c r="BO41" i="1" a="1"/>
  <c r="BO41" i="1" s="1"/>
  <c r="CB41" i="1" s="1"/>
  <c r="BO42" i="1" a="1"/>
  <c r="BO42" i="1" s="1"/>
  <c r="CB42" i="1" s="1"/>
  <c r="BO43" i="1" a="1"/>
  <c r="BO43" i="1" s="1"/>
  <c r="CB43" i="1" s="1"/>
  <c r="BO44" i="1" a="1"/>
  <c r="BO44" i="1" s="1"/>
  <c r="CB44" i="1" s="1"/>
  <c r="BO45" i="1" a="1"/>
  <c r="BO45" i="1" s="1"/>
  <c r="CB45" i="1" s="1"/>
  <c r="BO46" i="1" a="1"/>
  <c r="BO46" i="1" s="1"/>
  <c r="CB46" i="1" s="1"/>
  <c r="BO47" i="1" a="1"/>
  <c r="BO47" i="1" s="1"/>
  <c r="CB47" i="1" s="1"/>
  <c r="BO48" i="1" a="1"/>
  <c r="BO48" i="1" s="1"/>
  <c r="CB48" i="1" s="1"/>
  <c r="BO49" i="1" a="1"/>
  <c r="BO49" i="1" s="1"/>
  <c r="CB49" i="1" s="1"/>
  <c r="BO50" i="1" a="1"/>
  <c r="BO50" i="1" s="1"/>
  <c r="CB50" i="1" s="1"/>
  <c r="BO51" i="1" a="1"/>
  <c r="BO51" i="1" s="1"/>
  <c r="CB51" i="1" s="1"/>
  <c r="BO52" i="1" a="1"/>
  <c r="BO52" i="1" s="1"/>
  <c r="CB52" i="1" s="1"/>
  <c r="BO53" i="1" a="1"/>
  <c r="BO53" i="1" s="1"/>
  <c r="CB53" i="1" s="1"/>
  <c r="BO54" i="1" a="1"/>
  <c r="BO54" i="1" s="1"/>
  <c r="CB54" i="1" s="1"/>
  <c r="BO56" i="1" a="1"/>
  <c r="BO56" i="1" s="1"/>
  <c r="CB56" i="1" s="1"/>
  <c r="BO57" i="1" a="1"/>
  <c r="BO57" i="1" s="1"/>
  <c r="CB57" i="1" s="1"/>
  <c r="BO58" i="1" a="1"/>
  <c r="BO58" i="1" s="1"/>
  <c r="CB58" i="1" s="1"/>
  <c r="BO59" i="1" a="1"/>
  <c r="BO59" i="1" s="1"/>
  <c r="CB59" i="1" s="1"/>
  <c r="BO60" i="1" a="1"/>
  <c r="BO60" i="1" s="1"/>
  <c r="CB60" i="1" s="1"/>
  <c r="BO61" i="1" a="1"/>
  <c r="BO61" i="1" s="1"/>
  <c r="CB61" i="1" s="1"/>
  <c r="BO62" i="1" a="1"/>
  <c r="BO62" i="1" s="1"/>
  <c r="CB62" i="1" s="1"/>
  <c r="BO63" i="1" a="1"/>
  <c r="BO63" i="1" s="1"/>
  <c r="CB63" i="1" s="1"/>
  <c r="BO64" i="1" a="1"/>
  <c r="BO64" i="1" s="1"/>
  <c r="CB64" i="1" s="1"/>
  <c r="BO127" i="1" a="1"/>
  <c r="BO127" i="1" s="1"/>
  <c r="CB127" i="1" s="1"/>
  <c r="BO66" i="1" a="1"/>
  <c r="BO66" i="1" s="1"/>
  <c r="CB66" i="1" s="1"/>
  <c r="BO68" i="1" a="1"/>
  <c r="BO68" i="1" s="1"/>
  <c r="CB68" i="1" s="1"/>
  <c r="BO69" i="1" a="1"/>
  <c r="BO69" i="1" s="1"/>
  <c r="CB69" i="1" s="1"/>
  <c r="BO184" i="1" a="1"/>
  <c r="BO184" i="1" s="1"/>
  <c r="CB184" i="1" s="1"/>
  <c r="BO71" i="1" a="1"/>
  <c r="BO71" i="1" s="1"/>
  <c r="CB71" i="1" s="1"/>
  <c r="BO72" i="1" a="1"/>
  <c r="BO72" i="1" s="1"/>
  <c r="CB72" i="1" s="1"/>
  <c r="BO73" i="1" a="1"/>
  <c r="BO73" i="1" s="1"/>
  <c r="CB73" i="1" s="1"/>
  <c r="BO74" i="1" a="1"/>
  <c r="BO74" i="1" s="1"/>
  <c r="CB74" i="1" s="1"/>
  <c r="BO75" i="1" a="1"/>
  <c r="BO75" i="1" s="1"/>
  <c r="CB75" i="1" s="1"/>
  <c r="BO76" i="1" a="1"/>
  <c r="BO76" i="1" s="1"/>
  <c r="CB76" i="1" s="1"/>
  <c r="BO77" i="1" a="1"/>
  <c r="BO77" i="1" s="1"/>
  <c r="CB77" i="1" s="1"/>
  <c r="BO78" i="1" a="1"/>
  <c r="BO78" i="1" s="1"/>
  <c r="CB78" i="1" s="1"/>
  <c r="BO79" i="1" a="1"/>
  <c r="BO79" i="1" s="1"/>
  <c r="CB79" i="1" s="1"/>
  <c r="BO80" i="1" a="1"/>
  <c r="BO80" i="1" s="1"/>
  <c r="CB80" i="1" s="1"/>
  <c r="BO81" i="1" a="1"/>
  <c r="BO81" i="1" s="1"/>
  <c r="CB81" i="1" s="1"/>
  <c r="BO82" i="1" a="1"/>
  <c r="BO82" i="1" s="1"/>
  <c r="CB82" i="1" s="1"/>
  <c r="BO83" i="1" a="1"/>
  <c r="BO83" i="1" s="1"/>
  <c r="CB83" i="1" s="1"/>
  <c r="BO84" i="1" a="1"/>
  <c r="BO84" i="1" s="1"/>
  <c r="CB84" i="1" s="1"/>
  <c r="BO85" i="1" a="1"/>
  <c r="BO85" i="1" s="1"/>
  <c r="CB85" i="1" s="1"/>
  <c r="BO86" i="1" a="1"/>
  <c r="BO86" i="1" s="1"/>
  <c r="CB86" i="1" s="1"/>
  <c r="BO87" i="1" a="1"/>
  <c r="BO87" i="1" s="1"/>
  <c r="CB87" i="1" s="1"/>
  <c r="BO88" i="1" a="1"/>
  <c r="BO88" i="1" s="1"/>
  <c r="CB88" i="1" s="1"/>
  <c r="BO163" i="1" a="1"/>
  <c r="BO163" i="1" s="1"/>
  <c r="CB163" i="1" s="1"/>
  <c r="BO91" i="1" a="1"/>
  <c r="BO91" i="1" s="1"/>
  <c r="CB91" i="1" s="1"/>
  <c r="BO93" i="1" a="1"/>
  <c r="BO93" i="1" s="1"/>
  <c r="CB93" i="1" s="1"/>
  <c r="BO94" i="1" a="1"/>
  <c r="BO94" i="1" s="1"/>
  <c r="CB94" i="1" s="1"/>
  <c r="BO95" i="1" a="1"/>
  <c r="BO95" i="1" s="1"/>
  <c r="CB95" i="1" s="1"/>
  <c r="BO96" i="1" a="1"/>
  <c r="BO96" i="1" s="1"/>
  <c r="CB96" i="1" s="1"/>
  <c r="BO97" i="1" a="1"/>
  <c r="BO97" i="1" s="1"/>
  <c r="CB97" i="1" s="1"/>
  <c r="BO98" i="1" a="1"/>
  <c r="BO98" i="1" s="1"/>
  <c r="CB98" i="1" s="1"/>
  <c r="BO99" i="1" a="1"/>
  <c r="BO99" i="1" s="1"/>
  <c r="CB99" i="1" s="1"/>
  <c r="BO100" i="1" a="1"/>
  <c r="BO100" i="1" s="1"/>
  <c r="CB100" i="1" s="1"/>
  <c r="BO101" i="1" a="1"/>
  <c r="BO101" i="1" s="1"/>
  <c r="CB101" i="1" s="1"/>
  <c r="BO102" i="1" a="1"/>
  <c r="BO102" i="1" s="1"/>
  <c r="CB102" i="1" s="1"/>
  <c r="BO103" i="1" a="1"/>
  <c r="BO103" i="1" s="1"/>
  <c r="CB103" i="1" s="1"/>
  <c r="BO104" i="1" a="1"/>
  <c r="BO104" i="1" s="1"/>
  <c r="CB104" i="1" s="1"/>
  <c r="BO105" i="1" a="1"/>
  <c r="BO105" i="1" s="1"/>
  <c r="CB105" i="1" s="1"/>
  <c r="BO106" i="1" a="1"/>
  <c r="BO106" i="1" s="1"/>
  <c r="CB106" i="1" s="1"/>
  <c r="BO107" i="1" a="1"/>
  <c r="BO107" i="1" s="1"/>
  <c r="CB107" i="1" s="1"/>
  <c r="BO108" i="1" a="1"/>
  <c r="BO108" i="1" s="1"/>
  <c r="CB108" i="1" s="1"/>
  <c r="BO109" i="1" a="1"/>
  <c r="BO109" i="1" s="1"/>
  <c r="CB109" i="1" s="1"/>
  <c r="BO110" i="1" a="1"/>
  <c r="BO110" i="1" s="1"/>
  <c r="CB110" i="1" s="1"/>
  <c r="BO111" i="1" a="1"/>
  <c r="BO111" i="1" s="1"/>
  <c r="CB111" i="1" s="1"/>
  <c r="BO112" i="1" a="1"/>
  <c r="BO112" i="1" s="1"/>
  <c r="CB112" i="1" s="1"/>
  <c r="BO89" i="1" a="1"/>
  <c r="BO89" i="1" s="1"/>
  <c r="CB89" i="1" s="1"/>
  <c r="BO115" i="1" a="1"/>
  <c r="BO115" i="1" s="1"/>
  <c r="CB115" i="1" s="1"/>
  <c r="BO116" i="1" a="1"/>
  <c r="BO116" i="1" s="1"/>
  <c r="CB116" i="1" s="1"/>
  <c r="BO117" i="1" a="1"/>
  <c r="BO117" i="1" s="1"/>
  <c r="CB117" i="1" s="1"/>
  <c r="BO118" i="1" a="1"/>
  <c r="BO118" i="1" s="1"/>
  <c r="CB118" i="1" s="1"/>
  <c r="BO119" i="1" a="1"/>
  <c r="BO119" i="1" s="1"/>
  <c r="CB119" i="1" s="1"/>
  <c r="BO67" i="1" a="1"/>
  <c r="BO67" i="1" s="1"/>
  <c r="CB67" i="1" s="1"/>
  <c r="BO122" i="1" a="1"/>
  <c r="BO122" i="1" s="1"/>
  <c r="CB122" i="1" s="1"/>
  <c r="BO123" i="1" a="1"/>
  <c r="BO123" i="1" s="1"/>
  <c r="CB123" i="1" s="1"/>
  <c r="BO153" i="1" a="1"/>
  <c r="BO153" i="1" s="1"/>
  <c r="CB153" i="1" s="1"/>
  <c r="BO125" i="1" a="1"/>
  <c r="BO125" i="1" s="1"/>
  <c r="CB125" i="1" s="1"/>
  <c r="BO126" i="1" a="1"/>
  <c r="BO126" i="1" s="1"/>
  <c r="CB126" i="1" s="1"/>
  <c r="BO128" i="1" a="1"/>
  <c r="BO128" i="1" s="1"/>
  <c r="CB128" i="1" s="1"/>
  <c r="BO129" i="1" a="1"/>
  <c r="BO129" i="1" s="1"/>
  <c r="CB129" i="1" s="1"/>
  <c r="BO130" i="1" a="1"/>
  <c r="BO130" i="1" s="1"/>
  <c r="CB130" i="1" s="1"/>
  <c r="BO131" i="1" a="1"/>
  <c r="BO131" i="1" s="1"/>
  <c r="CB131" i="1" s="1"/>
  <c r="BO133" i="1" a="1"/>
  <c r="BO133" i="1" s="1"/>
  <c r="CB133" i="1" s="1"/>
  <c r="BO134" i="1" a="1"/>
  <c r="BO134" i="1" s="1"/>
  <c r="CB134" i="1" s="1"/>
  <c r="BO135" i="1" a="1"/>
  <c r="BO135" i="1" s="1"/>
  <c r="CB135" i="1" s="1"/>
  <c r="BO136" i="1" a="1"/>
  <c r="BO136" i="1" s="1"/>
  <c r="CB136" i="1" s="1"/>
  <c r="BO137" i="1" a="1"/>
  <c r="BO137" i="1" s="1"/>
  <c r="CB137" i="1" s="1"/>
  <c r="BO138" i="1" a="1"/>
  <c r="BO138" i="1" s="1"/>
  <c r="CB138" i="1" s="1"/>
  <c r="BO139" i="1" a="1"/>
  <c r="BO139" i="1" s="1"/>
  <c r="CB139" i="1" s="1"/>
  <c r="BO140" i="1" a="1"/>
  <c r="BO140" i="1" s="1"/>
  <c r="CB140" i="1" s="1"/>
  <c r="BO141" i="1" a="1"/>
  <c r="BO141" i="1" s="1"/>
  <c r="CB141" i="1" s="1"/>
  <c r="BO142" i="1" a="1"/>
  <c r="BO142" i="1" s="1"/>
  <c r="CB142" i="1" s="1"/>
  <c r="BO143" i="1" a="1"/>
  <c r="BO143" i="1" s="1"/>
  <c r="CB143" i="1" s="1"/>
  <c r="BO144" i="1" a="1"/>
  <c r="BO144" i="1" s="1"/>
  <c r="CB144" i="1" s="1"/>
  <c r="BO145" i="1" a="1"/>
  <c r="BO145" i="1" s="1"/>
  <c r="CB145" i="1" s="1"/>
  <c r="BO146" i="1" a="1"/>
  <c r="BO146" i="1" s="1"/>
  <c r="CB146" i="1" s="1"/>
  <c r="BO147" i="1" a="1"/>
  <c r="BO147" i="1" s="1"/>
  <c r="CB147" i="1" s="1"/>
  <c r="BO148" i="1" a="1"/>
  <c r="BO148" i="1" s="1"/>
  <c r="CB148" i="1" s="1"/>
  <c r="BO149" i="1" a="1"/>
  <c r="BO149" i="1" s="1"/>
  <c r="CB149" i="1" s="1"/>
  <c r="BO150" i="1" a="1"/>
  <c r="BO150" i="1" s="1"/>
  <c r="CB150" i="1" s="1"/>
  <c r="BO151" i="1" a="1"/>
  <c r="BO151" i="1" s="1"/>
  <c r="CB151" i="1" s="1"/>
  <c r="BO152" i="1" a="1"/>
  <c r="BO152" i="1" s="1"/>
  <c r="CB152" i="1" s="1"/>
  <c r="BO120" i="1" a="1"/>
  <c r="BO120" i="1" s="1"/>
  <c r="CB120" i="1" s="1"/>
  <c r="BO154" i="1" a="1"/>
  <c r="BO154" i="1" s="1"/>
  <c r="CB154" i="1" s="1"/>
  <c r="BO92" i="1" a="1"/>
  <c r="BO92" i="1" s="1"/>
  <c r="CB92" i="1" s="1"/>
  <c r="BO156" i="1" a="1"/>
  <c r="BO156" i="1" s="1"/>
  <c r="CB156" i="1" s="1"/>
  <c r="BO157" i="1" a="1"/>
  <c r="BO157" i="1" s="1"/>
  <c r="CB157" i="1" s="1"/>
  <c r="BO158" i="1" a="1"/>
  <c r="BO158" i="1" s="1"/>
  <c r="CB158" i="1" s="1"/>
  <c r="BO159" i="1" a="1"/>
  <c r="BO159" i="1" s="1"/>
  <c r="CB159" i="1" s="1"/>
  <c r="BO160" i="1" a="1"/>
  <c r="BO160" i="1" s="1"/>
  <c r="CB160" i="1" s="1"/>
  <c r="BO161" i="1" a="1"/>
  <c r="BO161" i="1" s="1"/>
  <c r="CB161" i="1" s="1"/>
  <c r="BO162" i="1" a="1"/>
  <c r="BO162" i="1" s="1"/>
  <c r="CB162" i="1" s="1"/>
  <c r="BO164" i="1" a="1"/>
  <c r="BO164" i="1" s="1"/>
  <c r="CB164" i="1" s="1"/>
  <c r="BO165" i="1" a="1"/>
  <c r="BO165" i="1" s="1"/>
  <c r="CB165" i="1" s="1"/>
  <c r="BO166" i="1" a="1"/>
  <c r="BO166" i="1" s="1"/>
  <c r="CB166" i="1" s="1"/>
  <c r="BO167" i="1" a="1"/>
  <c r="BO167" i="1" s="1"/>
  <c r="CB167" i="1" s="1"/>
  <c r="BO168" i="1" a="1"/>
  <c r="BO168" i="1" s="1"/>
  <c r="CB168" i="1" s="1"/>
  <c r="BO169" i="1" a="1"/>
  <c r="BO169" i="1" s="1"/>
  <c r="CB169" i="1" s="1"/>
  <c r="BO170" i="1" a="1"/>
  <c r="BO170" i="1" s="1"/>
  <c r="CB170" i="1" s="1"/>
  <c r="BO171" i="1" a="1"/>
  <c r="BO171" i="1" s="1"/>
  <c r="CB171" i="1" s="1"/>
  <c r="BO172" i="1" a="1"/>
  <c r="BO172" i="1" s="1"/>
  <c r="CB172" i="1" s="1"/>
  <c r="BO173" i="1" a="1"/>
  <c r="BO173" i="1" s="1"/>
  <c r="CB173" i="1" s="1"/>
  <c r="BO174" i="1" a="1"/>
  <c r="BO174" i="1" s="1"/>
  <c r="CB174" i="1" s="1"/>
  <c r="BO175" i="1" a="1"/>
  <c r="BO175" i="1" s="1"/>
  <c r="CB175" i="1" s="1"/>
  <c r="BO176" i="1" a="1"/>
  <c r="BO176" i="1" s="1"/>
  <c r="CB176" i="1" s="1"/>
  <c r="BO177" i="1" a="1"/>
  <c r="BO177" i="1" s="1"/>
  <c r="CB177" i="1" s="1"/>
  <c r="BO178" i="1" a="1"/>
  <c r="BO178" i="1" s="1"/>
  <c r="CB178" i="1" s="1"/>
  <c r="BO179" i="1" a="1"/>
  <c r="BO179" i="1" s="1"/>
  <c r="CB179" i="1" s="1"/>
  <c r="EG155" i="1"/>
  <c r="BO181" i="1" a="1"/>
  <c r="BO181" i="1" s="1"/>
  <c r="CB181" i="1" s="1"/>
  <c r="BO182" i="1" a="1"/>
  <c r="BO182" i="1" s="1"/>
  <c r="CB182" i="1" s="1"/>
  <c r="BO183" i="1" a="1"/>
  <c r="BO183" i="1" s="1"/>
  <c r="CB183" i="1" s="1"/>
  <c r="BO191" i="1" a="1"/>
  <c r="BO191" i="1" s="1"/>
  <c r="CB191" i="1" s="1"/>
  <c r="BO185" i="1" a="1"/>
  <c r="BO185" i="1" s="1"/>
  <c r="CB185" i="1" s="1"/>
  <c r="BO19" i="1" a="1"/>
  <c r="BO19" i="1" s="1"/>
  <c r="CB19" i="1" s="1"/>
  <c r="BO187" i="1" a="1"/>
  <c r="BO187" i="1" s="1"/>
  <c r="CB187" i="1" s="1"/>
  <c r="BO188" i="1" a="1"/>
  <c r="BO188" i="1" s="1"/>
  <c r="CB188" i="1" s="1"/>
  <c r="BO189" i="1" a="1"/>
  <c r="BO189" i="1" s="1"/>
  <c r="CB189" i="1" s="1"/>
  <c r="BO190" i="1" a="1"/>
  <c r="BO190" i="1" s="1"/>
  <c r="CB190" i="1" s="1"/>
  <c r="BO35" i="1" a="1"/>
  <c r="BO35" i="1" s="1"/>
  <c r="CB35" i="1" s="1"/>
  <c r="BO192" i="1" a="1"/>
  <c r="BO192" i="1" s="1"/>
  <c r="CB192" i="1" s="1"/>
  <c r="BO193" i="1" a="1"/>
  <c r="BO193" i="1" s="1"/>
  <c r="CB193" i="1" s="1"/>
  <c r="BO194" i="1" a="1"/>
  <c r="BO194" i="1" s="1"/>
  <c r="CB194" i="1" s="1"/>
  <c r="BO195" i="1" a="1"/>
  <c r="BO195" i="1" s="1"/>
  <c r="CB195" i="1" s="1"/>
  <c r="BO196" i="1" a="1"/>
  <c r="BO196" i="1" s="1"/>
  <c r="CB196" i="1" s="1"/>
  <c r="BO197" i="1" a="1"/>
  <c r="BO197" i="1" s="1"/>
  <c r="CB197" i="1" s="1"/>
  <c r="BO198" i="1" a="1"/>
  <c r="BO198" i="1" s="1"/>
  <c r="CB198" i="1" s="1"/>
  <c r="BO199" i="1" a="1"/>
  <c r="BO199" i="1" s="1"/>
  <c r="CB199" i="1" s="1"/>
  <c r="BO200" i="1" a="1"/>
  <c r="BO200" i="1" s="1"/>
  <c r="CB200" i="1" s="1"/>
  <c r="BO201" i="1" a="1"/>
  <c r="BO201" i="1" s="1"/>
  <c r="CB201" i="1" s="1"/>
  <c r="BO255" i="1" a="1"/>
  <c r="BO255" i="1" s="1"/>
  <c r="CB255" i="1" s="1"/>
  <c r="BO203" i="1" a="1"/>
  <c r="BO203" i="1" s="1"/>
  <c r="CB203" i="1" s="1"/>
  <c r="BO204" i="1" a="1"/>
  <c r="BO204" i="1" s="1"/>
  <c r="CB204" i="1" s="1"/>
  <c r="BO205" i="1" a="1"/>
  <c r="BO205" i="1" s="1"/>
  <c r="CB205" i="1" s="1"/>
  <c r="BO206" i="1" a="1"/>
  <c r="BO206" i="1" s="1"/>
  <c r="CB206" i="1" s="1"/>
  <c r="BO207" i="1" a="1"/>
  <c r="BO207" i="1" s="1"/>
  <c r="CB207" i="1" s="1"/>
  <c r="BO208" i="1" a="1"/>
  <c r="BO208" i="1" s="1"/>
  <c r="CB208" i="1" s="1"/>
  <c r="BO114" i="1" a="1"/>
  <c r="BO114" i="1" s="1"/>
  <c r="CB114" i="1" s="1"/>
  <c r="BO210" i="1" a="1"/>
  <c r="BO210" i="1" s="1"/>
  <c r="CB210" i="1" s="1"/>
  <c r="BO211" i="1" a="1"/>
  <c r="BO211" i="1" s="1"/>
  <c r="CB211" i="1" s="1"/>
  <c r="BO212" i="1" a="1"/>
  <c r="BO212" i="1" s="1"/>
  <c r="CB212" i="1" s="1"/>
  <c r="BO213" i="1" a="1"/>
  <c r="BO213" i="1" s="1"/>
  <c r="CB213" i="1" s="1"/>
  <c r="BO214" i="1" a="1"/>
  <c r="BO214" i="1" s="1"/>
  <c r="CB214" i="1" s="1"/>
  <c r="BO215" i="1" a="1"/>
  <c r="BO215" i="1" s="1"/>
  <c r="CB215" i="1" s="1"/>
  <c r="BO216" i="1" a="1"/>
  <c r="BO216" i="1" s="1"/>
  <c r="CB216" i="1" s="1"/>
  <c r="BO217" i="1" a="1"/>
  <c r="BO217" i="1" s="1"/>
  <c r="CB217" i="1" s="1"/>
  <c r="BO218" i="1" a="1"/>
  <c r="BO218" i="1" s="1"/>
  <c r="CB218" i="1" s="1"/>
  <c r="BO219" i="1" a="1"/>
  <c r="BO219" i="1" s="1"/>
  <c r="CB219" i="1" s="1"/>
  <c r="BO220" i="1" a="1"/>
  <c r="BO220" i="1" s="1"/>
  <c r="CB220" i="1" s="1"/>
  <c r="BO221" i="1" a="1"/>
  <c r="BO221" i="1" s="1"/>
  <c r="CB221" i="1" s="1"/>
  <c r="BO222" i="1" a="1"/>
  <c r="BO222" i="1" s="1"/>
  <c r="CB222" i="1" s="1"/>
  <c r="BO223" i="1" a="1"/>
  <c r="BO223" i="1" s="1"/>
  <c r="CB223" i="1" s="1"/>
  <c r="BO224" i="1" a="1"/>
  <c r="BO224" i="1" s="1"/>
  <c r="CB224" i="1" s="1"/>
  <c r="BO225" i="1" a="1"/>
  <c r="BO225" i="1" s="1"/>
  <c r="CB225" i="1" s="1"/>
  <c r="BO226" i="1" a="1"/>
  <c r="BO226" i="1" s="1"/>
  <c r="CB226" i="1" s="1"/>
  <c r="BO227" i="1" a="1"/>
  <c r="BO227" i="1" s="1"/>
  <c r="CB227" i="1" s="1"/>
  <c r="BO228" i="1" a="1"/>
  <c r="BO228" i="1" s="1"/>
  <c r="CB228" i="1" s="1"/>
  <c r="BO229" i="1" a="1"/>
  <c r="BO229" i="1" s="1"/>
  <c r="CB229" i="1" s="1"/>
  <c r="BO230" i="1" a="1"/>
  <c r="BO230" i="1" s="1"/>
  <c r="CB230" i="1" s="1"/>
  <c r="BO231" i="1" a="1"/>
  <c r="BO231" i="1" s="1"/>
  <c r="CB231" i="1" s="1"/>
  <c r="BO232" i="1" a="1"/>
  <c r="BO232" i="1" s="1"/>
  <c r="CB232" i="1" s="1"/>
  <c r="BO233" i="1" a="1"/>
  <c r="BO233" i="1" s="1"/>
  <c r="CB233" i="1" s="1"/>
  <c r="BO234" i="1" a="1"/>
  <c r="BO234" i="1" s="1"/>
  <c r="CB234" i="1" s="1"/>
  <c r="BO235" i="1" a="1"/>
  <c r="BO235" i="1" s="1"/>
  <c r="CB235" i="1" s="1"/>
  <c r="BO237" i="1" a="1"/>
  <c r="BO237" i="1" s="1"/>
  <c r="CB237" i="1" s="1"/>
  <c r="BO239" i="1" a="1"/>
  <c r="BO239" i="1" s="1"/>
  <c r="CB239" i="1" s="1"/>
  <c r="BO240" i="1" a="1"/>
  <c r="BO240" i="1" s="1"/>
  <c r="CB240" i="1" s="1"/>
  <c r="BO241" i="1" a="1"/>
  <c r="BO241" i="1" s="1"/>
  <c r="CB241" i="1" s="1"/>
  <c r="BO242" i="1" a="1"/>
  <c r="BO242" i="1" s="1"/>
  <c r="CB242" i="1" s="1"/>
  <c r="BO243" i="1" a="1"/>
  <c r="BO243" i="1" s="1"/>
  <c r="CB243" i="1" s="1"/>
  <c r="BO244" i="1" a="1"/>
  <c r="BO244" i="1" s="1"/>
  <c r="CB244" i="1" s="1"/>
  <c r="BO246" i="1" a="1"/>
  <c r="BO246" i="1" s="1"/>
  <c r="CB246" i="1" s="1"/>
  <c r="BO247" i="1" a="1"/>
  <c r="BO247" i="1" s="1"/>
  <c r="CB247" i="1" s="1"/>
  <c r="BO248" i="1" a="1"/>
  <c r="BO248" i="1" s="1"/>
  <c r="CB248" i="1" s="1"/>
  <c r="BO249" i="1" a="1"/>
  <c r="BO249" i="1" s="1"/>
  <c r="CB249" i="1" s="1"/>
  <c r="BO250" i="1" a="1"/>
  <c r="BO250" i="1" s="1"/>
  <c r="CB250" i="1" s="1"/>
  <c r="BO251" i="1" a="1"/>
  <c r="BO251" i="1" s="1"/>
  <c r="CB251" i="1" s="1"/>
  <c r="BO252" i="1" a="1"/>
  <c r="BO252" i="1" s="1"/>
  <c r="CB252" i="1" s="1"/>
  <c r="BO253" i="1" a="1"/>
  <c r="BO253" i="1" s="1"/>
  <c r="CB253" i="1" s="1"/>
  <c r="BO254" i="1" a="1"/>
  <c r="BO254" i="1" s="1"/>
  <c r="CB254" i="1" s="1"/>
  <c r="BO202" i="1" a="1"/>
  <c r="BO202" i="1" s="1"/>
  <c r="CB202" i="1" s="1"/>
  <c r="BO256" i="1" a="1"/>
  <c r="BO256" i="1" s="1"/>
  <c r="CB256" i="1" s="1"/>
  <c r="BO257" i="1" a="1"/>
  <c r="BO257" i="1" s="1"/>
  <c r="CB257" i="1" s="1"/>
  <c r="BO258" i="1" a="1"/>
  <c r="BO258" i="1" s="1"/>
  <c r="CB258" i="1" s="1"/>
  <c r="BO259" i="1" a="1"/>
  <c r="BO259" i="1" s="1"/>
  <c r="CB259" i="1" s="1"/>
  <c r="BO260" i="1" a="1"/>
  <c r="BO260" i="1" s="1"/>
  <c r="CB260" i="1" s="1"/>
  <c r="BO261" i="1" a="1"/>
  <c r="BO261" i="1" s="1"/>
  <c r="CB261" i="1" s="1"/>
  <c r="BO262" i="1" a="1"/>
  <c r="BO262" i="1" s="1"/>
  <c r="CB262" i="1" s="1"/>
  <c r="BO263" i="1" a="1"/>
  <c r="BO263" i="1" s="1"/>
  <c r="CB263" i="1" s="1"/>
  <c r="BO264" i="1" a="1"/>
  <c r="BO264" i="1" s="1"/>
  <c r="CB264" i="1" s="1"/>
  <c r="BO265" i="1" a="1"/>
  <c r="BO265" i="1" s="1"/>
  <c r="CB265" i="1" s="1"/>
  <c r="BO266" i="1" a="1"/>
  <c r="BO266" i="1" s="1"/>
  <c r="CB266" i="1" s="1"/>
  <c r="BO267" i="1" a="1"/>
  <c r="BO267" i="1" s="1"/>
  <c r="CB267" i="1" s="1"/>
  <c r="BO268" i="1" a="1"/>
  <c r="BO268" i="1" s="1"/>
  <c r="CB268" i="1" s="1"/>
  <c r="BO269" i="1" a="1"/>
  <c r="BO269" i="1" s="1"/>
  <c r="CB269" i="1" s="1"/>
  <c r="BO270" i="1" a="1"/>
  <c r="BO270" i="1" s="1"/>
  <c r="CB270" i="1" s="1"/>
  <c r="BO271" i="1" a="1"/>
  <c r="BO271" i="1" s="1"/>
  <c r="CB271" i="1" s="1"/>
  <c r="E266" i="9" l="1"/>
  <c r="E265" i="9"/>
  <c r="E263" i="9"/>
  <c r="E198" i="9"/>
  <c r="E243" i="9"/>
  <c r="E238" i="9"/>
  <c r="E233" i="9"/>
  <c r="E228" i="9"/>
  <c r="E224" i="9"/>
  <c r="E220" i="9"/>
  <c r="E216" i="9"/>
  <c r="E212" i="9"/>
  <c r="E208" i="9"/>
  <c r="E204" i="9"/>
  <c r="E200" i="9"/>
  <c r="E196" i="9"/>
  <c r="E192" i="9"/>
  <c r="E188" i="9"/>
  <c r="E184" i="9"/>
  <c r="E187" i="9"/>
  <c r="E172" i="9"/>
  <c r="E168" i="9"/>
  <c r="E164" i="9"/>
  <c r="E160" i="9"/>
  <c r="E155" i="9"/>
  <c r="E88" i="9"/>
  <c r="E147" i="9"/>
  <c r="E143" i="9"/>
  <c r="E139" i="9"/>
  <c r="E135" i="9"/>
  <c r="E131" i="9"/>
  <c r="E126" i="9"/>
  <c r="E121" i="9"/>
  <c r="E63" i="9"/>
  <c r="E112" i="9"/>
  <c r="E107" i="9"/>
  <c r="E103" i="9"/>
  <c r="E99" i="9"/>
  <c r="E95" i="9"/>
  <c r="E91" i="9"/>
  <c r="E159" i="9"/>
  <c r="E81" i="9"/>
  <c r="E77" i="9"/>
  <c r="E73" i="9"/>
  <c r="E69" i="9"/>
  <c r="E65" i="9"/>
  <c r="E60" i="9"/>
  <c r="E56" i="9"/>
  <c r="E52" i="9"/>
  <c r="E47" i="9"/>
  <c r="E43" i="9"/>
  <c r="E39" i="9"/>
  <c r="E35" i="9"/>
  <c r="E30" i="9"/>
  <c r="E26" i="9"/>
  <c r="E22" i="9"/>
  <c r="E267" i="9"/>
  <c r="E259" i="9"/>
  <c r="E255" i="9"/>
  <c r="E247" i="9"/>
  <c r="E262" i="9"/>
  <c r="E258" i="9"/>
  <c r="E254" i="9"/>
  <c r="E250" i="9"/>
  <c r="E246" i="9"/>
  <c r="E242" i="9"/>
  <c r="E237" i="9"/>
  <c r="E231" i="9"/>
  <c r="E227" i="9"/>
  <c r="E223" i="9"/>
  <c r="E219" i="9"/>
  <c r="E215" i="9"/>
  <c r="E211" i="9"/>
  <c r="E207" i="9"/>
  <c r="E203" i="9"/>
  <c r="E199" i="9"/>
  <c r="E195" i="9"/>
  <c r="E191" i="9"/>
  <c r="E31" i="9"/>
  <c r="E183" i="9"/>
  <c r="E179" i="9"/>
  <c r="E175" i="9"/>
  <c r="E171" i="9"/>
  <c r="E167" i="9"/>
  <c r="E163" i="9"/>
  <c r="E158" i="9"/>
  <c r="E154" i="9"/>
  <c r="E150" i="9"/>
  <c r="E146" i="9"/>
  <c r="E142" i="9"/>
  <c r="E138" i="9"/>
  <c r="E134" i="9"/>
  <c r="E130" i="9"/>
  <c r="E125" i="9"/>
  <c r="E149" i="9"/>
  <c r="E115" i="9"/>
  <c r="E111" i="9"/>
  <c r="E106" i="9"/>
  <c r="E102" i="9"/>
  <c r="E98" i="9"/>
  <c r="E94" i="9"/>
  <c r="E90" i="9"/>
  <c r="E84" i="9"/>
  <c r="E80" i="9"/>
  <c r="E76" i="9"/>
  <c r="E72" i="9"/>
  <c r="E68" i="9"/>
  <c r="E64" i="9"/>
  <c r="E59" i="9"/>
  <c r="E55" i="9"/>
  <c r="E50" i="9"/>
  <c r="E46" i="9"/>
  <c r="E42" i="9"/>
  <c r="E38" i="9"/>
  <c r="E34" i="9"/>
  <c r="E29" i="9"/>
  <c r="E25" i="9"/>
  <c r="E21" i="9"/>
  <c r="E261" i="9"/>
  <c r="E253" i="9"/>
  <c r="E240" i="9"/>
  <c r="E236" i="9"/>
  <c r="E230" i="9"/>
  <c r="E226" i="9"/>
  <c r="E222" i="9"/>
  <c r="E218" i="9"/>
  <c r="E214" i="9"/>
  <c r="E210" i="9"/>
  <c r="E206" i="9"/>
  <c r="E202" i="9"/>
  <c r="E251" i="9"/>
  <c r="E194" i="9"/>
  <c r="E190" i="9"/>
  <c r="E186" i="9"/>
  <c r="E15" i="9"/>
  <c r="E178" i="9"/>
  <c r="E174" i="9"/>
  <c r="E170" i="9"/>
  <c r="E166" i="9"/>
  <c r="E162" i="9"/>
  <c r="E157" i="9"/>
  <c r="E153" i="9"/>
  <c r="E116" i="9"/>
  <c r="E145" i="9"/>
  <c r="E141" i="9"/>
  <c r="E137" i="9"/>
  <c r="E133" i="9"/>
  <c r="E129" i="9"/>
  <c r="E124" i="9"/>
  <c r="E119" i="9"/>
  <c r="E114" i="9"/>
  <c r="E85" i="9"/>
  <c r="E105" i="9"/>
  <c r="E101" i="9"/>
  <c r="E97" i="9"/>
  <c r="E93" i="9"/>
  <c r="E89" i="9"/>
  <c r="E83" i="9"/>
  <c r="E79" i="9"/>
  <c r="E75" i="9"/>
  <c r="E71" i="9"/>
  <c r="E67" i="9"/>
  <c r="E62" i="9"/>
  <c r="E58" i="9"/>
  <c r="E54" i="9"/>
  <c r="E49" i="9"/>
  <c r="E45" i="9"/>
  <c r="E41" i="9"/>
  <c r="E37" i="9"/>
  <c r="E33" i="9"/>
  <c r="E28" i="9"/>
  <c r="E24" i="9"/>
  <c r="E20" i="9"/>
  <c r="E257" i="9"/>
  <c r="E249" i="9"/>
  <c r="E245" i="9"/>
  <c r="E264" i="9"/>
  <c r="E260" i="9"/>
  <c r="E256" i="9"/>
  <c r="E252" i="9"/>
  <c r="E248" i="9"/>
  <c r="E244" i="9"/>
  <c r="E239" i="9"/>
  <c r="E235" i="9"/>
  <c r="E229" i="9"/>
  <c r="E225" i="9"/>
  <c r="E221" i="9"/>
  <c r="E217" i="9"/>
  <c r="E213" i="9"/>
  <c r="E209" i="9"/>
  <c r="E110" i="9"/>
  <c r="E201" i="9"/>
  <c r="E197" i="9"/>
  <c r="E193" i="9"/>
  <c r="E189" i="9"/>
  <c r="E185" i="9"/>
  <c r="E181" i="9"/>
  <c r="E177" i="9"/>
  <c r="E173" i="9"/>
  <c r="E169" i="9"/>
  <c r="E165" i="9"/>
  <c r="E161" i="9"/>
  <c r="E156" i="9"/>
  <c r="E152" i="9"/>
  <c r="E148" i="9"/>
  <c r="E144" i="9"/>
  <c r="E140" i="9"/>
  <c r="E136" i="9"/>
  <c r="E132" i="9"/>
  <c r="E127" i="9"/>
  <c r="E122" i="9"/>
  <c r="E118" i="9"/>
  <c r="E113" i="9"/>
  <c r="E108" i="9"/>
  <c r="E104" i="9"/>
  <c r="E100" i="9"/>
  <c r="E96" i="9"/>
  <c r="E92" i="9"/>
  <c r="E87" i="9"/>
  <c r="E82" i="9"/>
  <c r="E78" i="9"/>
  <c r="E74" i="9"/>
  <c r="E70" i="9"/>
  <c r="E180" i="9"/>
  <c r="E123" i="9"/>
  <c r="E57" i="9"/>
  <c r="E53" i="9"/>
  <c r="E48" i="9"/>
  <c r="E44" i="9"/>
  <c r="E40" i="9"/>
  <c r="E36" i="9"/>
  <c r="E32" i="9"/>
  <c r="E27" i="9"/>
  <c r="E23" i="9"/>
  <c r="E19" i="9"/>
  <c r="BZ271" i="1"/>
  <c r="BZ259" i="1"/>
  <c r="BZ251" i="1"/>
  <c r="BZ247" i="1"/>
  <c r="BZ242" i="1"/>
  <c r="BZ237" i="1"/>
  <c r="BZ232" i="1"/>
  <c r="BZ228" i="1"/>
  <c r="BZ224" i="1"/>
  <c r="BZ220" i="1"/>
  <c r="BZ216" i="1"/>
  <c r="BZ212" i="1"/>
  <c r="BZ208" i="1"/>
  <c r="BZ204" i="1"/>
  <c r="BZ200" i="1"/>
  <c r="BZ196" i="1"/>
  <c r="BZ192" i="1"/>
  <c r="BZ188" i="1"/>
  <c r="BZ191" i="1"/>
  <c r="BZ176" i="1"/>
  <c r="BZ172" i="1"/>
  <c r="BZ168" i="1"/>
  <c r="BZ164" i="1"/>
  <c r="BZ159" i="1"/>
  <c r="BZ92" i="1"/>
  <c r="BZ151" i="1"/>
  <c r="BZ147" i="1"/>
  <c r="BZ143" i="1"/>
  <c r="BZ139" i="1"/>
  <c r="BZ135" i="1"/>
  <c r="BZ130" i="1"/>
  <c r="BZ125" i="1"/>
  <c r="BZ67" i="1"/>
  <c r="BZ116" i="1"/>
  <c r="BZ111" i="1"/>
  <c r="BZ107" i="1"/>
  <c r="BZ103" i="1"/>
  <c r="BZ99" i="1"/>
  <c r="BZ95" i="1"/>
  <c r="BZ163" i="1"/>
  <c r="BZ86" i="1"/>
  <c r="BZ82" i="1"/>
  <c r="BZ78" i="1"/>
  <c r="BZ74" i="1"/>
  <c r="BZ184" i="1"/>
  <c r="BZ127" i="1"/>
  <c r="BZ61" i="1"/>
  <c r="BZ57" i="1"/>
  <c r="BZ52" i="1"/>
  <c r="BZ48" i="1"/>
  <c r="BZ44" i="1"/>
  <c r="BZ40" i="1"/>
  <c r="BZ36" i="1"/>
  <c r="BZ31" i="1"/>
  <c r="BZ27" i="1"/>
  <c r="BZ23" i="1"/>
  <c r="BZ267" i="1"/>
  <c r="BZ202" i="1"/>
  <c r="BZ270" i="1"/>
  <c r="BZ266" i="1"/>
  <c r="BZ262" i="1"/>
  <c r="BZ258" i="1"/>
  <c r="BZ254" i="1"/>
  <c r="BZ250" i="1"/>
  <c r="BZ246" i="1"/>
  <c r="BZ241" i="1"/>
  <c r="BZ235" i="1"/>
  <c r="BZ231" i="1"/>
  <c r="BZ227" i="1"/>
  <c r="BZ223" i="1"/>
  <c r="BZ219" i="1"/>
  <c r="BZ215" i="1"/>
  <c r="BZ211" i="1"/>
  <c r="BZ207" i="1"/>
  <c r="BZ203" i="1"/>
  <c r="BZ199" i="1"/>
  <c r="BZ195" i="1"/>
  <c r="BZ35" i="1"/>
  <c r="BZ187" i="1"/>
  <c r="BZ183" i="1"/>
  <c r="BZ179" i="1"/>
  <c r="BZ175" i="1"/>
  <c r="BZ171" i="1"/>
  <c r="BZ167" i="1"/>
  <c r="BZ162" i="1"/>
  <c r="BZ158" i="1"/>
  <c r="BZ154" i="1"/>
  <c r="BZ150" i="1"/>
  <c r="BZ146" i="1"/>
  <c r="BZ142" i="1"/>
  <c r="BZ138" i="1"/>
  <c r="BZ134" i="1"/>
  <c r="BZ129" i="1"/>
  <c r="BZ153" i="1"/>
  <c r="BZ119" i="1"/>
  <c r="BZ115" i="1"/>
  <c r="BZ110" i="1"/>
  <c r="BZ106" i="1"/>
  <c r="BZ102" i="1"/>
  <c r="BZ98" i="1"/>
  <c r="BZ94" i="1"/>
  <c r="BZ124" i="1"/>
  <c r="BZ85" i="1"/>
  <c r="BZ81" i="1"/>
  <c r="BZ77" i="1"/>
  <c r="BZ73" i="1"/>
  <c r="BZ69" i="1"/>
  <c r="BZ64" i="1"/>
  <c r="BZ60" i="1"/>
  <c r="BZ56" i="1"/>
  <c r="BZ51" i="1"/>
  <c r="BZ47" i="1"/>
  <c r="BZ43" i="1"/>
  <c r="BZ39" i="1"/>
  <c r="BZ34" i="1"/>
  <c r="BZ30" i="1"/>
  <c r="BZ26" i="1"/>
  <c r="BZ269" i="1"/>
  <c r="BZ261" i="1"/>
  <c r="BZ253" i="1"/>
  <c r="BZ244" i="1"/>
  <c r="BZ240" i="1"/>
  <c r="BZ234" i="1"/>
  <c r="BZ230" i="1"/>
  <c r="BZ226" i="1"/>
  <c r="BZ222" i="1"/>
  <c r="BZ218" i="1"/>
  <c r="BZ214" i="1"/>
  <c r="BZ210" i="1"/>
  <c r="BZ206" i="1"/>
  <c r="BZ255" i="1"/>
  <c r="BZ198" i="1"/>
  <c r="BZ194" i="1"/>
  <c r="BZ190" i="1"/>
  <c r="BZ19" i="1"/>
  <c r="BZ182" i="1"/>
  <c r="BZ178" i="1"/>
  <c r="BZ174" i="1"/>
  <c r="BZ170" i="1"/>
  <c r="BZ166" i="1"/>
  <c r="BZ161" i="1"/>
  <c r="BZ157" i="1"/>
  <c r="BZ120" i="1"/>
  <c r="BZ149" i="1"/>
  <c r="BZ145" i="1"/>
  <c r="BZ141" i="1"/>
  <c r="BZ137" i="1"/>
  <c r="BZ133" i="1"/>
  <c r="BZ128" i="1"/>
  <c r="BZ123" i="1"/>
  <c r="BZ118" i="1"/>
  <c r="BZ89" i="1"/>
  <c r="BZ109" i="1"/>
  <c r="BZ105" i="1"/>
  <c r="BZ101" i="1"/>
  <c r="BZ97" i="1"/>
  <c r="BZ93" i="1"/>
  <c r="BZ88" i="1"/>
  <c r="BZ84" i="1"/>
  <c r="BZ80" i="1"/>
  <c r="BZ76" i="1"/>
  <c r="BZ72" i="1"/>
  <c r="BZ68" i="1"/>
  <c r="BZ63" i="1"/>
  <c r="BZ59" i="1"/>
  <c r="BZ54" i="1"/>
  <c r="BZ50" i="1"/>
  <c r="BZ46" i="1"/>
  <c r="BZ42" i="1"/>
  <c r="BZ38" i="1"/>
  <c r="BZ33" i="1"/>
  <c r="BZ29" i="1"/>
  <c r="BZ25" i="1"/>
  <c r="BZ263" i="1"/>
  <c r="BZ265" i="1"/>
  <c r="BZ257" i="1"/>
  <c r="BZ249" i="1"/>
  <c r="BZ268" i="1"/>
  <c r="BZ264" i="1"/>
  <c r="BZ260" i="1"/>
  <c r="BZ256" i="1"/>
  <c r="BZ252" i="1"/>
  <c r="BZ248" i="1"/>
  <c r="BZ243" i="1"/>
  <c r="BZ239" i="1"/>
  <c r="BZ233" i="1"/>
  <c r="BZ229" i="1"/>
  <c r="BZ225" i="1"/>
  <c r="BZ221" i="1"/>
  <c r="BZ217" i="1"/>
  <c r="BZ213" i="1"/>
  <c r="BZ114" i="1"/>
  <c r="BZ205" i="1"/>
  <c r="BZ201" i="1"/>
  <c r="BZ197" i="1"/>
  <c r="BZ193" i="1"/>
  <c r="BZ189" i="1"/>
  <c r="BZ185" i="1"/>
  <c r="BZ181" i="1"/>
  <c r="BZ177" i="1"/>
  <c r="BZ173" i="1"/>
  <c r="BZ169" i="1"/>
  <c r="BZ165" i="1"/>
  <c r="BZ160" i="1"/>
  <c r="BZ156" i="1"/>
  <c r="BZ152" i="1"/>
  <c r="BZ148" i="1"/>
  <c r="BZ144" i="1"/>
  <c r="BZ140" i="1"/>
  <c r="BZ136" i="1"/>
  <c r="BZ131" i="1"/>
  <c r="BZ126" i="1"/>
  <c r="BZ122" i="1"/>
  <c r="BZ117" i="1"/>
  <c r="BZ112" i="1"/>
  <c r="BZ108" i="1"/>
  <c r="BZ104" i="1"/>
  <c r="BZ100" i="1"/>
  <c r="BZ96" i="1"/>
  <c r="BZ91" i="1"/>
  <c r="BZ87" i="1"/>
  <c r="BZ83" i="1"/>
  <c r="BZ79" i="1"/>
  <c r="BZ75" i="1"/>
  <c r="BZ71" i="1"/>
  <c r="BZ66" i="1"/>
  <c r="BZ62" i="1"/>
  <c r="BZ58" i="1"/>
  <c r="BZ53" i="1"/>
  <c r="BZ49" i="1"/>
  <c r="BZ45" i="1"/>
  <c r="BZ41" i="1"/>
  <c r="BZ37" i="1"/>
  <c r="BZ32" i="1"/>
  <c r="BZ28" i="1"/>
  <c r="BZ24" i="1"/>
  <c r="EG269" i="1"/>
  <c r="EI269" i="1" s="1"/>
  <c r="EK269" i="1" s="1"/>
  <c r="EG265" i="1"/>
  <c r="EI265" i="1" s="1"/>
  <c r="EK265" i="1" s="1"/>
  <c r="EG261" i="1"/>
  <c r="EI261" i="1" s="1"/>
  <c r="EK261" i="1" s="1"/>
  <c r="EG257" i="1"/>
  <c r="EI257" i="1" s="1"/>
  <c r="EK257" i="1" s="1"/>
  <c r="EG253" i="1"/>
  <c r="EI253" i="1" s="1"/>
  <c r="EK253" i="1" s="1"/>
  <c r="EG249" i="1"/>
  <c r="EI249" i="1" s="1"/>
  <c r="EK249" i="1" s="1"/>
  <c r="EG244" i="1"/>
  <c r="EI244" i="1" s="1"/>
  <c r="EK244" i="1" s="1"/>
  <c r="EG240" i="1"/>
  <c r="EI240" i="1" s="1"/>
  <c r="EK240" i="1" s="1"/>
  <c r="EG234" i="1"/>
  <c r="EI234" i="1" s="1"/>
  <c r="EK234" i="1" s="1"/>
  <c r="EG230" i="1"/>
  <c r="EI230" i="1" s="1"/>
  <c r="EK230" i="1" s="1"/>
  <c r="EG226" i="1"/>
  <c r="EI226" i="1" s="1"/>
  <c r="EK226" i="1" s="1"/>
  <c r="EG222" i="1"/>
  <c r="EI222" i="1" s="1"/>
  <c r="EK222" i="1" s="1"/>
  <c r="EG218" i="1"/>
  <c r="EI218" i="1" s="1"/>
  <c r="EK218" i="1" s="1"/>
  <c r="EG214" i="1"/>
  <c r="EI214" i="1" s="1"/>
  <c r="EK214" i="1" s="1"/>
  <c r="EG210" i="1"/>
  <c r="EI210" i="1" s="1"/>
  <c r="EK210" i="1" s="1"/>
  <c r="EG206" i="1"/>
  <c r="EI206" i="1" s="1"/>
  <c r="EK206" i="1" s="1"/>
  <c r="EG255" i="1"/>
  <c r="EI255" i="1" s="1"/>
  <c r="EK255" i="1" s="1"/>
  <c r="EG198" i="1"/>
  <c r="EI198" i="1" s="1"/>
  <c r="EK198" i="1" s="1"/>
  <c r="EG194" i="1"/>
  <c r="EI194" i="1" s="1"/>
  <c r="EK194" i="1" s="1"/>
  <c r="EG190" i="1"/>
  <c r="EI190" i="1" s="1"/>
  <c r="EK190" i="1" s="1"/>
  <c r="EG182" i="1"/>
  <c r="EI182" i="1" s="1"/>
  <c r="EK182" i="1" s="1"/>
  <c r="EG178" i="1"/>
  <c r="EI178" i="1" s="1"/>
  <c r="EK178" i="1" s="1"/>
  <c r="EG174" i="1"/>
  <c r="EI174" i="1" s="1"/>
  <c r="EK174" i="1" s="1"/>
  <c r="EG170" i="1"/>
  <c r="EI170" i="1" s="1"/>
  <c r="EK170" i="1" s="1"/>
  <c r="EG166" i="1"/>
  <c r="EI166" i="1" s="1"/>
  <c r="EK166" i="1" s="1"/>
  <c r="EG161" i="1"/>
  <c r="EI161" i="1" s="1"/>
  <c r="EK161" i="1" s="1"/>
  <c r="EG157" i="1"/>
  <c r="EI157" i="1" s="1"/>
  <c r="EK157" i="1" s="1"/>
  <c r="EG149" i="1"/>
  <c r="EI149" i="1" s="1"/>
  <c r="EK149" i="1" s="1"/>
  <c r="EG145" i="1"/>
  <c r="EI145" i="1" s="1"/>
  <c r="EK145" i="1" s="1"/>
  <c r="EG141" i="1"/>
  <c r="EI141" i="1" s="1"/>
  <c r="EK141" i="1" s="1"/>
  <c r="EG137" i="1"/>
  <c r="EI137" i="1" s="1"/>
  <c r="EK137" i="1" s="1"/>
  <c r="EG133" i="1"/>
  <c r="EI133" i="1" s="1"/>
  <c r="EK133" i="1" s="1"/>
  <c r="EG128" i="1"/>
  <c r="EI128" i="1" s="1"/>
  <c r="EK128" i="1" s="1"/>
  <c r="EG123" i="1"/>
  <c r="EI123" i="1" s="1"/>
  <c r="EK123" i="1" s="1"/>
  <c r="EG119" i="1"/>
  <c r="EI119" i="1" s="1"/>
  <c r="EK119" i="1" s="1"/>
  <c r="EG115" i="1"/>
  <c r="EI115" i="1" s="1"/>
  <c r="EK115" i="1" s="1"/>
  <c r="EG110" i="1"/>
  <c r="EI110" i="1" s="1"/>
  <c r="EK110" i="1" s="1"/>
  <c r="EG106" i="1"/>
  <c r="EI106" i="1" s="1"/>
  <c r="EK106" i="1" s="1"/>
  <c r="EG102" i="1"/>
  <c r="EI102" i="1" s="1"/>
  <c r="EK102" i="1" s="1"/>
  <c r="EG98" i="1"/>
  <c r="EI98" i="1" s="1"/>
  <c r="EK98" i="1" s="1"/>
  <c r="EG94" i="1"/>
  <c r="EI94" i="1" s="1"/>
  <c r="EK94" i="1" s="1"/>
  <c r="EG163" i="1"/>
  <c r="EI163" i="1" s="1"/>
  <c r="EK163" i="1" s="1"/>
  <c r="EG86" i="1"/>
  <c r="EI86" i="1" s="1"/>
  <c r="EK86" i="1" s="1"/>
  <c r="EG82" i="1"/>
  <c r="EI82" i="1" s="1"/>
  <c r="EK82" i="1" s="1"/>
  <c r="EG78" i="1"/>
  <c r="EI78" i="1" s="1"/>
  <c r="EK78" i="1" s="1"/>
  <c r="EG74" i="1"/>
  <c r="EI74" i="1" s="1"/>
  <c r="EK74" i="1" s="1"/>
  <c r="EG184" i="1"/>
  <c r="EI184" i="1" s="1"/>
  <c r="EK184" i="1" s="1"/>
  <c r="EG127" i="1"/>
  <c r="EI127" i="1" s="1"/>
  <c r="EK127" i="1" s="1"/>
  <c r="EG61" i="1"/>
  <c r="EI61" i="1" s="1"/>
  <c r="EK61" i="1" s="1"/>
  <c r="EG57" i="1"/>
  <c r="EI57" i="1" s="1"/>
  <c r="EK57" i="1" s="1"/>
  <c r="EG52" i="1"/>
  <c r="EI52" i="1" s="1"/>
  <c r="EK52" i="1" s="1"/>
  <c r="EG48" i="1"/>
  <c r="EI48" i="1" s="1"/>
  <c r="EK48" i="1" s="1"/>
  <c r="EG44" i="1"/>
  <c r="EI44" i="1" s="1"/>
  <c r="EK44" i="1" s="1"/>
  <c r="EG40" i="1"/>
  <c r="EI40" i="1" s="1"/>
  <c r="EK40" i="1" s="1"/>
  <c r="EG36" i="1"/>
  <c r="EI36" i="1" s="1"/>
  <c r="EK36" i="1" s="1"/>
  <c r="EG31" i="1"/>
  <c r="EI31" i="1" s="1"/>
  <c r="EK31" i="1" s="1"/>
  <c r="EG27" i="1"/>
  <c r="EI27" i="1" s="1"/>
  <c r="EK27" i="1" s="1"/>
  <c r="EG23" i="1"/>
  <c r="EI23" i="1" s="1"/>
  <c r="EK23" i="1" s="1"/>
  <c r="EG271" i="1"/>
  <c r="EI271" i="1" s="1"/>
  <c r="EK271" i="1" s="1"/>
  <c r="EG268" i="1"/>
  <c r="EI268" i="1" s="1"/>
  <c r="EK268" i="1" s="1"/>
  <c r="EG264" i="1"/>
  <c r="EI264" i="1" s="1"/>
  <c r="EK264" i="1" s="1"/>
  <c r="EG260" i="1"/>
  <c r="EI260" i="1" s="1"/>
  <c r="EK260" i="1" s="1"/>
  <c r="EG256" i="1"/>
  <c r="EI256" i="1" s="1"/>
  <c r="EK256" i="1" s="1"/>
  <c r="EG252" i="1"/>
  <c r="EI252" i="1" s="1"/>
  <c r="EK252" i="1" s="1"/>
  <c r="EG248" i="1"/>
  <c r="EI248" i="1" s="1"/>
  <c r="EK248" i="1" s="1"/>
  <c r="EG243" i="1"/>
  <c r="EI243" i="1" s="1"/>
  <c r="EK243" i="1" s="1"/>
  <c r="EG239" i="1"/>
  <c r="EI239" i="1" s="1"/>
  <c r="EK239" i="1" s="1"/>
  <c r="EG233" i="1"/>
  <c r="EI233" i="1" s="1"/>
  <c r="EK233" i="1" s="1"/>
  <c r="EG229" i="1"/>
  <c r="EI229" i="1" s="1"/>
  <c r="EK229" i="1" s="1"/>
  <c r="EG225" i="1"/>
  <c r="EI225" i="1" s="1"/>
  <c r="EK225" i="1" s="1"/>
  <c r="EG221" i="1"/>
  <c r="EI221" i="1" s="1"/>
  <c r="EK221" i="1" s="1"/>
  <c r="EG217" i="1"/>
  <c r="EI217" i="1" s="1"/>
  <c r="EK217" i="1" s="1"/>
  <c r="EG213" i="1"/>
  <c r="EI213" i="1" s="1"/>
  <c r="EK213" i="1" s="1"/>
  <c r="EG205" i="1"/>
  <c r="EI205" i="1" s="1"/>
  <c r="EK205" i="1" s="1"/>
  <c r="EG201" i="1"/>
  <c r="EI201" i="1" s="1"/>
  <c r="EK201" i="1" s="1"/>
  <c r="EG197" i="1"/>
  <c r="EI197" i="1" s="1"/>
  <c r="EK197" i="1" s="1"/>
  <c r="EG193" i="1"/>
  <c r="EI193" i="1" s="1"/>
  <c r="EK193" i="1" s="1"/>
  <c r="EG189" i="1"/>
  <c r="EI189" i="1" s="1"/>
  <c r="EK189" i="1" s="1"/>
  <c r="EG185" i="1"/>
  <c r="EI185" i="1" s="1"/>
  <c r="EK185" i="1" s="1"/>
  <c r="EG181" i="1"/>
  <c r="EI181" i="1" s="1"/>
  <c r="EK181" i="1" s="1"/>
  <c r="EG177" i="1"/>
  <c r="EI177" i="1" s="1"/>
  <c r="EK177" i="1" s="1"/>
  <c r="EG173" i="1"/>
  <c r="EI173" i="1" s="1"/>
  <c r="EK173" i="1" s="1"/>
  <c r="EG169" i="1"/>
  <c r="EI169" i="1" s="1"/>
  <c r="EK169" i="1" s="1"/>
  <c r="EG165" i="1"/>
  <c r="EI165" i="1" s="1"/>
  <c r="EK165" i="1" s="1"/>
  <c r="EG160" i="1"/>
  <c r="EI160" i="1" s="1"/>
  <c r="EK160" i="1" s="1"/>
  <c r="EG156" i="1"/>
  <c r="EI156" i="1" s="1"/>
  <c r="EK156" i="1" s="1"/>
  <c r="EG152" i="1"/>
  <c r="EI152" i="1" s="1"/>
  <c r="EK152" i="1" s="1"/>
  <c r="EG148" i="1"/>
  <c r="EI148" i="1" s="1"/>
  <c r="EK148" i="1" s="1"/>
  <c r="EG144" i="1"/>
  <c r="EI144" i="1" s="1"/>
  <c r="EK144" i="1" s="1"/>
  <c r="EG140" i="1"/>
  <c r="EI140" i="1" s="1"/>
  <c r="EK140" i="1" s="1"/>
  <c r="EG136" i="1"/>
  <c r="EI136" i="1" s="1"/>
  <c r="EK136" i="1" s="1"/>
  <c r="EG131" i="1"/>
  <c r="EI131" i="1" s="1"/>
  <c r="EK131" i="1" s="1"/>
  <c r="EG126" i="1"/>
  <c r="EI126" i="1" s="1"/>
  <c r="EK126" i="1" s="1"/>
  <c r="EG122" i="1"/>
  <c r="EI122" i="1" s="1"/>
  <c r="EK122" i="1" s="1"/>
  <c r="EG118" i="1"/>
  <c r="EI118" i="1" s="1"/>
  <c r="EK118" i="1" s="1"/>
  <c r="EG109" i="1"/>
  <c r="EI109" i="1" s="1"/>
  <c r="EK109" i="1" s="1"/>
  <c r="EG105" i="1"/>
  <c r="EI105" i="1" s="1"/>
  <c r="EK105" i="1" s="1"/>
  <c r="EG101" i="1"/>
  <c r="EI101" i="1" s="1"/>
  <c r="EK101" i="1" s="1"/>
  <c r="EG97" i="1"/>
  <c r="EI97" i="1" s="1"/>
  <c r="EK97" i="1" s="1"/>
  <c r="EG93" i="1"/>
  <c r="EI93" i="1" s="1"/>
  <c r="EK93" i="1" s="1"/>
  <c r="EG124" i="1"/>
  <c r="EI124" i="1" s="1"/>
  <c r="EK124" i="1" s="1"/>
  <c r="EG85" i="1"/>
  <c r="EI85" i="1" s="1"/>
  <c r="EK85" i="1" s="1"/>
  <c r="EG81" i="1"/>
  <c r="EI81" i="1" s="1"/>
  <c r="EK81" i="1" s="1"/>
  <c r="EG77" i="1"/>
  <c r="EI77" i="1" s="1"/>
  <c r="EK77" i="1" s="1"/>
  <c r="EG73" i="1"/>
  <c r="EI73" i="1" s="1"/>
  <c r="EK73" i="1" s="1"/>
  <c r="EG69" i="1"/>
  <c r="EI69" i="1" s="1"/>
  <c r="EK69" i="1" s="1"/>
  <c r="EG64" i="1"/>
  <c r="EI64" i="1" s="1"/>
  <c r="EK64" i="1" s="1"/>
  <c r="EG60" i="1"/>
  <c r="EI60" i="1" s="1"/>
  <c r="EK60" i="1" s="1"/>
  <c r="EG56" i="1"/>
  <c r="EI56" i="1" s="1"/>
  <c r="EK56" i="1" s="1"/>
  <c r="EG51" i="1"/>
  <c r="EI51" i="1" s="1"/>
  <c r="EK51" i="1" s="1"/>
  <c r="EG47" i="1"/>
  <c r="EI47" i="1" s="1"/>
  <c r="EK47" i="1" s="1"/>
  <c r="EG43" i="1"/>
  <c r="EI43" i="1" s="1"/>
  <c r="EK43" i="1" s="1"/>
  <c r="EG39" i="1"/>
  <c r="EI39" i="1" s="1"/>
  <c r="EK39" i="1" s="1"/>
  <c r="EG34" i="1"/>
  <c r="EI34" i="1" s="1"/>
  <c r="EK34" i="1" s="1"/>
  <c r="EG30" i="1"/>
  <c r="EI30" i="1" s="1"/>
  <c r="EK30" i="1" s="1"/>
  <c r="EG26" i="1"/>
  <c r="EI26" i="1" s="1"/>
  <c r="EK26" i="1" s="1"/>
  <c r="EG267" i="1"/>
  <c r="EI267" i="1" s="1"/>
  <c r="EK267" i="1" s="1"/>
  <c r="EG263" i="1"/>
  <c r="EI263" i="1" s="1"/>
  <c r="EK263" i="1" s="1"/>
  <c r="EG259" i="1"/>
  <c r="EI259" i="1" s="1"/>
  <c r="EK259" i="1" s="1"/>
  <c r="EG202" i="1"/>
  <c r="EI202" i="1" s="1"/>
  <c r="EK202" i="1" s="1"/>
  <c r="EG251" i="1"/>
  <c r="EI251" i="1" s="1"/>
  <c r="EK251" i="1" s="1"/>
  <c r="EG247" i="1"/>
  <c r="EI247" i="1" s="1"/>
  <c r="EK247" i="1" s="1"/>
  <c r="EG242" i="1"/>
  <c r="EI242" i="1" s="1"/>
  <c r="EK242" i="1" s="1"/>
  <c r="EG237" i="1"/>
  <c r="EI237" i="1" s="1"/>
  <c r="EK237" i="1" s="1"/>
  <c r="EG232" i="1"/>
  <c r="EI232" i="1" s="1"/>
  <c r="EK232" i="1" s="1"/>
  <c r="EG228" i="1"/>
  <c r="EI228" i="1" s="1"/>
  <c r="EK228" i="1" s="1"/>
  <c r="EG224" i="1"/>
  <c r="EI224" i="1" s="1"/>
  <c r="EK224" i="1" s="1"/>
  <c r="EG220" i="1"/>
  <c r="EI220" i="1" s="1"/>
  <c r="EK220" i="1" s="1"/>
  <c r="EG216" i="1"/>
  <c r="EI216" i="1" s="1"/>
  <c r="EK216" i="1" s="1"/>
  <c r="EG212" i="1"/>
  <c r="EI212" i="1" s="1"/>
  <c r="EK212" i="1" s="1"/>
  <c r="EG208" i="1"/>
  <c r="EI208" i="1" s="1"/>
  <c r="EK208" i="1" s="1"/>
  <c r="EG204" i="1"/>
  <c r="EI204" i="1" s="1"/>
  <c r="EK204" i="1" s="1"/>
  <c r="EG200" i="1"/>
  <c r="EI200" i="1" s="1"/>
  <c r="EK200" i="1" s="1"/>
  <c r="EG196" i="1"/>
  <c r="EI196" i="1" s="1"/>
  <c r="EK196" i="1" s="1"/>
  <c r="EG192" i="1"/>
  <c r="EI192" i="1" s="1"/>
  <c r="EK192" i="1" s="1"/>
  <c r="EG188" i="1"/>
  <c r="EI188" i="1" s="1"/>
  <c r="EK188" i="1" s="1"/>
  <c r="EG191" i="1"/>
  <c r="EI191" i="1" s="1"/>
  <c r="EK191" i="1" s="1"/>
  <c r="EG176" i="1"/>
  <c r="EI176" i="1" s="1"/>
  <c r="EK176" i="1" s="1"/>
  <c r="EG172" i="1"/>
  <c r="EI172" i="1" s="1"/>
  <c r="EK172" i="1" s="1"/>
  <c r="EG168" i="1"/>
  <c r="EI168" i="1" s="1"/>
  <c r="EK168" i="1" s="1"/>
  <c r="EG164" i="1"/>
  <c r="EI164" i="1" s="1"/>
  <c r="EK164" i="1" s="1"/>
  <c r="EG159" i="1"/>
  <c r="EI159" i="1" s="1"/>
  <c r="EK159" i="1" s="1"/>
  <c r="EG92" i="1"/>
  <c r="EI92" i="1" s="1"/>
  <c r="EK92" i="1" s="1"/>
  <c r="EG151" i="1"/>
  <c r="EI151" i="1" s="1"/>
  <c r="EK151" i="1" s="1"/>
  <c r="EG147" i="1"/>
  <c r="EI147" i="1" s="1"/>
  <c r="EK147" i="1" s="1"/>
  <c r="EG143" i="1"/>
  <c r="EI143" i="1" s="1"/>
  <c r="EK143" i="1" s="1"/>
  <c r="EG139" i="1"/>
  <c r="EI139" i="1" s="1"/>
  <c r="EK139" i="1" s="1"/>
  <c r="EG135" i="1"/>
  <c r="EI135" i="1" s="1"/>
  <c r="EK135" i="1" s="1"/>
  <c r="EG130" i="1"/>
  <c r="EI130" i="1" s="1"/>
  <c r="EK130" i="1" s="1"/>
  <c r="EG125" i="1"/>
  <c r="EI125" i="1" s="1"/>
  <c r="EK125" i="1" s="1"/>
  <c r="EG117" i="1"/>
  <c r="EI117" i="1" s="1"/>
  <c r="EK117" i="1" s="1"/>
  <c r="EG112" i="1"/>
  <c r="EI112" i="1" s="1"/>
  <c r="EK112" i="1" s="1"/>
  <c r="EG108" i="1"/>
  <c r="EI108" i="1" s="1"/>
  <c r="EK108" i="1" s="1"/>
  <c r="EG104" i="1"/>
  <c r="EI104" i="1" s="1"/>
  <c r="EK104" i="1" s="1"/>
  <c r="EG100" i="1"/>
  <c r="EI100" i="1" s="1"/>
  <c r="EK100" i="1" s="1"/>
  <c r="EG96" i="1"/>
  <c r="EI96" i="1" s="1"/>
  <c r="EK96" i="1" s="1"/>
  <c r="EG88" i="1"/>
  <c r="EI88" i="1" s="1"/>
  <c r="EK88" i="1" s="1"/>
  <c r="EG84" i="1"/>
  <c r="EI84" i="1" s="1"/>
  <c r="EK84" i="1" s="1"/>
  <c r="EG80" i="1"/>
  <c r="EI80" i="1" s="1"/>
  <c r="EK80" i="1" s="1"/>
  <c r="EG76" i="1"/>
  <c r="EI76" i="1" s="1"/>
  <c r="EK76" i="1" s="1"/>
  <c r="EG72" i="1"/>
  <c r="EI72" i="1" s="1"/>
  <c r="EK72" i="1" s="1"/>
  <c r="EG68" i="1"/>
  <c r="EI68" i="1" s="1"/>
  <c r="EK68" i="1" s="1"/>
  <c r="EG63" i="1"/>
  <c r="EI63" i="1" s="1"/>
  <c r="EK63" i="1" s="1"/>
  <c r="EG59" i="1"/>
  <c r="EI59" i="1" s="1"/>
  <c r="EK59" i="1" s="1"/>
  <c r="EG54" i="1"/>
  <c r="EI54" i="1" s="1"/>
  <c r="EK54" i="1" s="1"/>
  <c r="EG50" i="1"/>
  <c r="EI50" i="1" s="1"/>
  <c r="EK50" i="1" s="1"/>
  <c r="EG46" i="1"/>
  <c r="EI46" i="1" s="1"/>
  <c r="EK46" i="1" s="1"/>
  <c r="EG42" i="1"/>
  <c r="EI42" i="1" s="1"/>
  <c r="EK42" i="1" s="1"/>
  <c r="EG38" i="1"/>
  <c r="EI38" i="1" s="1"/>
  <c r="EK38" i="1" s="1"/>
  <c r="EG33" i="1"/>
  <c r="EI33" i="1" s="1"/>
  <c r="EK33" i="1" s="1"/>
  <c r="EG29" i="1"/>
  <c r="EI29" i="1" s="1"/>
  <c r="EK29" i="1" s="1"/>
  <c r="EG25" i="1"/>
  <c r="EI25" i="1" s="1"/>
  <c r="EK25" i="1" s="1"/>
  <c r="EG270" i="1"/>
  <c r="EI270" i="1" s="1"/>
  <c r="EK270" i="1" s="1"/>
  <c r="EG266" i="1"/>
  <c r="EI266" i="1" s="1"/>
  <c r="EK266" i="1" s="1"/>
  <c r="EG262" i="1"/>
  <c r="EI262" i="1" s="1"/>
  <c r="EK262" i="1" s="1"/>
  <c r="EG258" i="1"/>
  <c r="EI258" i="1" s="1"/>
  <c r="EK258" i="1" s="1"/>
  <c r="EG254" i="1"/>
  <c r="EI254" i="1" s="1"/>
  <c r="EK254" i="1" s="1"/>
  <c r="EG250" i="1"/>
  <c r="EI250" i="1" s="1"/>
  <c r="EK250" i="1" s="1"/>
  <c r="EG246" i="1"/>
  <c r="EI246" i="1" s="1"/>
  <c r="EK246" i="1" s="1"/>
  <c r="EG241" i="1"/>
  <c r="EI241" i="1" s="1"/>
  <c r="EK241" i="1" s="1"/>
  <c r="EG235" i="1"/>
  <c r="EI235" i="1" s="1"/>
  <c r="EK235" i="1" s="1"/>
  <c r="EG231" i="1"/>
  <c r="EI231" i="1" s="1"/>
  <c r="EK231" i="1" s="1"/>
  <c r="EG227" i="1"/>
  <c r="EI227" i="1" s="1"/>
  <c r="EK227" i="1" s="1"/>
  <c r="EG223" i="1"/>
  <c r="EI223" i="1" s="1"/>
  <c r="EK223" i="1" s="1"/>
  <c r="EG219" i="1"/>
  <c r="EI219" i="1" s="1"/>
  <c r="EK219" i="1" s="1"/>
  <c r="EG215" i="1"/>
  <c r="EI215" i="1" s="1"/>
  <c r="EK215" i="1" s="1"/>
  <c r="EG211" i="1"/>
  <c r="EI211" i="1" s="1"/>
  <c r="EK211" i="1" s="1"/>
  <c r="EG207" i="1"/>
  <c r="EI207" i="1" s="1"/>
  <c r="EK207" i="1" s="1"/>
  <c r="EG203" i="1"/>
  <c r="EI203" i="1" s="1"/>
  <c r="EK203" i="1" s="1"/>
  <c r="EG199" i="1"/>
  <c r="EI199" i="1" s="1"/>
  <c r="EK199" i="1" s="1"/>
  <c r="EG195" i="1"/>
  <c r="EI195" i="1" s="1"/>
  <c r="EK195" i="1" s="1"/>
  <c r="EG35" i="1"/>
  <c r="EI35" i="1" s="1"/>
  <c r="EK35" i="1" s="1"/>
  <c r="EG187" i="1"/>
  <c r="EI187" i="1" s="1"/>
  <c r="EK187" i="1" s="1"/>
  <c r="EG183" i="1"/>
  <c r="EI183" i="1" s="1"/>
  <c r="EK183" i="1" s="1"/>
  <c r="EG179" i="1"/>
  <c r="EI179" i="1" s="1"/>
  <c r="EK179" i="1" s="1"/>
  <c r="EG175" i="1"/>
  <c r="EI175" i="1" s="1"/>
  <c r="EK175" i="1" s="1"/>
  <c r="EG171" i="1"/>
  <c r="EI171" i="1" s="1"/>
  <c r="EK171" i="1" s="1"/>
  <c r="EG167" i="1"/>
  <c r="EI167" i="1" s="1"/>
  <c r="EK167" i="1" s="1"/>
  <c r="EG162" i="1"/>
  <c r="EI162" i="1" s="1"/>
  <c r="EK162" i="1" s="1"/>
  <c r="EG158" i="1"/>
  <c r="EI158" i="1" s="1"/>
  <c r="EK158" i="1" s="1"/>
  <c r="EG154" i="1"/>
  <c r="EI154" i="1" s="1"/>
  <c r="EK154" i="1" s="1"/>
  <c r="EG150" i="1"/>
  <c r="EI150" i="1" s="1"/>
  <c r="EK150" i="1" s="1"/>
  <c r="EG146" i="1"/>
  <c r="EI146" i="1" s="1"/>
  <c r="EK146" i="1" s="1"/>
  <c r="EG142" i="1"/>
  <c r="EI142" i="1" s="1"/>
  <c r="EK142" i="1" s="1"/>
  <c r="EG138" i="1"/>
  <c r="EI138" i="1" s="1"/>
  <c r="EK138" i="1" s="1"/>
  <c r="EG134" i="1"/>
  <c r="EI134" i="1" s="1"/>
  <c r="EK134" i="1" s="1"/>
  <c r="EG129" i="1"/>
  <c r="EI129" i="1" s="1"/>
  <c r="EK129" i="1" s="1"/>
  <c r="EG116" i="1"/>
  <c r="EI116" i="1" s="1"/>
  <c r="EK116" i="1" s="1"/>
  <c r="EG111" i="1"/>
  <c r="EI111" i="1" s="1"/>
  <c r="EK111" i="1" s="1"/>
  <c r="EG107" i="1"/>
  <c r="EI107" i="1" s="1"/>
  <c r="EK107" i="1" s="1"/>
  <c r="EG103" i="1"/>
  <c r="EI103" i="1" s="1"/>
  <c r="EK103" i="1" s="1"/>
  <c r="EG99" i="1"/>
  <c r="EI99" i="1" s="1"/>
  <c r="EK99" i="1" s="1"/>
  <c r="EG95" i="1"/>
  <c r="EI95" i="1" s="1"/>
  <c r="EK95" i="1" s="1"/>
  <c r="EG91" i="1"/>
  <c r="EI91" i="1" s="1"/>
  <c r="EK91" i="1" s="1"/>
  <c r="EG87" i="1"/>
  <c r="EI87" i="1" s="1"/>
  <c r="EK87" i="1" s="1"/>
  <c r="EG83" i="1"/>
  <c r="EI83" i="1" s="1"/>
  <c r="EK83" i="1" s="1"/>
  <c r="EG79" i="1"/>
  <c r="EI79" i="1" s="1"/>
  <c r="EK79" i="1" s="1"/>
  <c r="EG75" i="1"/>
  <c r="EI75" i="1" s="1"/>
  <c r="EK75" i="1" s="1"/>
  <c r="EG71" i="1"/>
  <c r="EI71" i="1" s="1"/>
  <c r="EK71" i="1" s="1"/>
  <c r="EG66" i="1"/>
  <c r="EI66" i="1" s="1"/>
  <c r="EK66" i="1" s="1"/>
  <c r="EG62" i="1"/>
  <c r="EI62" i="1" s="1"/>
  <c r="EK62" i="1" s="1"/>
  <c r="EG58" i="1"/>
  <c r="EI58" i="1" s="1"/>
  <c r="EK58" i="1" s="1"/>
  <c r="EG53" i="1"/>
  <c r="EI53" i="1" s="1"/>
  <c r="EK53" i="1" s="1"/>
  <c r="EG49" i="1"/>
  <c r="EI49" i="1" s="1"/>
  <c r="EK49" i="1" s="1"/>
  <c r="EG45" i="1"/>
  <c r="EI45" i="1" s="1"/>
  <c r="EK45" i="1" s="1"/>
  <c r="EG41" i="1"/>
  <c r="EI41" i="1" s="1"/>
  <c r="EK41" i="1" s="1"/>
  <c r="EG37" i="1"/>
  <c r="EI37" i="1" s="1"/>
  <c r="EK37" i="1" s="1"/>
  <c r="EG32" i="1"/>
  <c r="EI32" i="1" s="1"/>
  <c r="EK32" i="1" s="1"/>
  <c r="EG28" i="1"/>
  <c r="EI28" i="1" s="1"/>
  <c r="EK28" i="1" s="1"/>
  <c r="EG24" i="1"/>
  <c r="EI24" i="1" s="1"/>
  <c r="EK24" i="1" s="1"/>
  <c r="EG180" i="1"/>
  <c r="EI180" i="1" s="1"/>
  <c r="EK180" i="1" s="1"/>
  <c r="EG153" i="1"/>
  <c r="EI153" i="1" s="1"/>
  <c r="EK153" i="1" s="1"/>
  <c r="EG120" i="1"/>
  <c r="EI120" i="1" s="1"/>
  <c r="EK120" i="1" s="1"/>
  <c r="EG114" i="1"/>
  <c r="EI114" i="1" s="1"/>
  <c r="EK114" i="1" s="1"/>
  <c r="EG89" i="1"/>
  <c r="EI89" i="1" s="1"/>
  <c r="EK89" i="1" s="1"/>
  <c r="EG70" i="1"/>
  <c r="EI70" i="1" s="1"/>
  <c r="EK70" i="1" s="1"/>
  <c r="EG67" i="1"/>
  <c r="EI67" i="1" s="1"/>
  <c r="EK67" i="1" s="1"/>
  <c r="EG19" i="1"/>
  <c r="EI19" i="1" s="1"/>
  <c r="EK19" i="1" s="1"/>
  <c r="EI155" i="1"/>
  <c r="EK155" i="1" s="1"/>
  <c r="DW256" i="1"/>
  <c r="DW244" i="1"/>
  <c r="DW224" i="1"/>
  <c r="DW204" i="1"/>
  <c r="DW192" i="1"/>
  <c r="DW172" i="1"/>
  <c r="DW160" i="1"/>
  <c r="DW141" i="1"/>
  <c r="DW129" i="1"/>
  <c r="DW109" i="1"/>
  <c r="DW97" i="1"/>
  <c r="DW93" i="1"/>
  <c r="DW124" i="1"/>
  <c r="DW85" i="1"/>
  <c r="DW81" i="1"/>
  <c r="DW77" i="1"/>
  <c r="DW73" i="1"/>
  <c r="DW69" i="1"/>
  <c r="DW127" i="1"/>
  <c r="DW61" i="1"/>
  <c r="DW57" i="1"/>
  <c r="DW53" i="1"/>
  <c r="DW49" i="1"/>
  <c r="DW45" i="1"/>
  <c r="DW41" i="1"/>
  <c r="DW37" i="1"/>
  <c r="DW33" i="1"/>
  <c r="DW29" i="1"/>
  <c r="DW25" i="1"/>
  <c r="DW21" i="1"/>
  <c r="DW17" i="1"/>
  <c r="DW13" i="1"/>
  <c r="DW9" i="1"/>
  <c r="DW271" i="1"/>
  <c r="DW268" i="1"/>
  <c r="DW264" i="1"/>
  <c r="DW257" i="1"/>
  <c r="DW253" i="1"/>
  <c r="DW245" i="1"/>
  <c r="DW241" i="1"/>
  <c r="DW233" i="1"/>
  <c r="DW225" i="1"/>
  <c r="DW217" i="1"/>
  <c r="DW114" i="1"/>
  <c r="DW201" i="1"/>
  <c r="DW197" i="1"/>
  <c r="DW189" i="1"/>
  <c r="DW181" i="1"/>
  <c r="DW173" i="1"/>
  <c r="DW165" i="1"/>
  <c r="DW157" i="1"/>
  <c r="DW146" i="1"/>
  <c r="DW138" i="1"/>
  <c r="DW130" i="1"/>
  <c r="DW122" i="1"/>
  <c r="DW118" i="1"/>
  <c r="DW110" i="1"/>
  <c r="DW106" i="1"/>
  <c r="DW98" i="1"/>
  <c r="DW94" i="1"/>
  <c r="DW163" i="1"/>
  <c r="DW86" i="1"/>
  <c r="DW82" i="1"/>
  <c r="DW78" i="1"/>
  <c r="DW74" i="1"/>
  <c r="DW184" i="1"/>
  <c r="DW66" i="1"/>
  <c r="DW62" i="1"/>
  <c r="DW54" i="1"/>
  <c r="DW46" i="1"/>
  <c r="DW38" i="1"/>
  <c r="DW30" i="1"/>
  <c r="DW22" i="1"/>
  <c r="DW186" i="1"/>
  <c r="DW267" i="1"/>
  <c r="DW252" i="1"/>
  <c r="DW236" i="1"/>
  <c r="DW228" i="1"/>
  <c r="DW220" i="1"/>
  <c r="DW208" i="1"/>
  <c r="DW196" i="1"/>
  <c r="DW191" i="1"/>
  <c r="DW176" i="1"/>
  <c r="DW168" i="1"/>
  <c r="DW120" i="1"/>
  <c r="DW145" i="1"/>
  <c r="DW137" i="1"/>
  <c r="DW125" i="1"/>
  <c r="DW113" i="1"/>
  <c r="DW101" i="1"/>
  <c r="DW269" i="1"/>
  <c r="DW266" i="1"/>
  <c r="DW263" i="1"/>
  <c r="DW259" i="1"/>
  <c r="DW202" i="1"/>
  <c r="DW251" i="1"/>
  <c r="DW247" i="1"/>
  <c r="DW243" i="1"/>
  <c r="DW239" i="1"/>
  <c r="DW235" i="1"/>
  <c r="DW231" i="1"/>
  <c r="DW227" i="1"/>
  <c r="DW223" i="1"/>
  <c r="DW219" i="1"/>
  <c r="DW215" i="1"/>
  <c r="DW211" i="1"/>
  <c r="DW207" i="1"/>
  <c r="DW203" i="1"/>
  <c r="DW199" i="1"/>
  <c r="DW195" i="1"/>
  <c r="DW35" i="1"/>
  <c r="DW187" i="1"/>
  <c r="DW183" i="1"/>
  <c r="DW179" i="1"/>
  <c r="DW175" i="1"/>
  <c r="DW171" i="1"/>
  <c r="DW167" i="1"/>
  <c r="DW65" i="1"/>
  <c r="DW159" i="1"/>
  <c r="DW92" i="1"/>
  <c r="DW152" i="1"/>
  <c r="DW148" i="1"/>
  <c r="DW144" i="1"/>
  <c r="DW140" i="1"/>
  <c r="DW136" i="1"/>
  <c r="DW132" i="1"/>
  <c r="DW128" i="1"/>
  <c r="DW153" i="1"/>
  <c r="DW67" i="1"/>
  <c r="DW116" i="1"/>
  <c r="DW112" i="1"/>
  <c r="DW108" i="1"/>
  <c r="DW104" i="1"/>
  <c r="DW100" i="1"/>
  <c r="DW96" i="1"/>
  <c r="DW88" i="1"/>
  <c r="DW84" i="1"/>
  <c r="DW80" i="1"/>
  <c r="DW76" i="1"/>
  <c r="DW72" i="1"/>
  <c r="DW68" i="1"/>
  <c r="DW64" i="1"/>
  <c r="DW60" i="1"/>
  <c r="DW56" i="1"/>
  <c r="DW52" i="1"/>
  <c r="DW48" i="1"/>
  <c r="DW44" i="1"/>
  <c r="DW40" i="1"/>
  <c r="DW36" i="1"/>
  <c r="DW32" i="1"/>
  <c r="DW28" i="1"/>
  <c r="DW24" i="1"/>
  <c r="DW20" i="1"/>
  <c r="DW16" i="1"/>
  <c r="DW12" i="1"/>
  <c r="DW261" i="1"/>
  <c r="DW249" i="1"/>
  <c r="DW237" i="1"/>
  <c r="DW229" i="1"/>
  <c r="DW221" i="1"/>
  <c r="DW213" i="1"/>
  <c r="DW205" i="1"/>
  <c r="DW193" i="1"/>
  <c r="DW185" i="1"/>
  <c r="DW177" i="1"/>
  <c r="DW169" i="1"/>
  <c r="DW161" i="1"/>
  <c r="DW150" i="1"/>
  <c r="DW142" i="1"/>
  <c r="DW134" i="1"/>
  <c r="DW126" i="1"/>
  <c r="DW89" i="1"/>
  <c r="DW102" i="1"/>
  <c r="DW58" i="1"/>
  <c r="DW50" i="1"/>
  <c r="DW42" i="1"/>
  <c r="DW34" i="1"/>
  <c r="DW26" i="1"/>
  <c r="DW18" i="1"/>
  <c r="DW10" i="1"/>
  <c r="DW270" i="1"/>
  <c r="DW260" i="1"/>
  <c r="DW248" i="1"/>
  <c r="DW240" i="1"/>
  <c r="DW232" i="1"/>
  <c r="DW216" i="1"/>
  <c r="DW212" i="1"/>
  <c r="DW200" i="1"/>
  <c r="DW188" i="1"/>
  <c r="DW155" i="1"/>
  <c r="DW164" i="1"/>
  <c r="DW156" i="1"/>
  <c r="DW149" i="1"/>
  <c r="DW133" i="1"/>
  <c r="DW70" i="1"/>
  <c r="DW117" i="1"/>
  <c r="DW105" i="1"/>
  <c r="DW265" i="1"/>
  <c r="DW262" i="1"/>
  <c r="DW258" i="1"/>
  <c r="DW254" i="1"/>
  <c r="DW250" i="1"/>
  <c r="DW246" i="1"/>
  <c r="DW242" i="1"/>
  <c r="DW238" i="1"/>
  <c r="DW234" i="1"/>
  <c r="DW230" i="1"/>
  <c r="DW226" i="1"/>
  <c r="DW222" i="1"/>
  <c r="DW218" i="1"/>
  <c r="DW214" i="1"/>
  <c r="DW210" i="1"/>
  <c r="DW206" i="1"/>
  <c r="DW255" i="1"/>
  <c r="DW198" i="1"/>
  <c r="DW194" i="1"/>
  <c r="DW190" i="1"/>
  <c r="DW19" i="1"/>
  <c r="DW182" i="1"/>
  <c r="DW178" i="1"/>
  <c r="DW174" i="1"/>
  <c r="DW170" i="1"/>
  <c r="DW166" i="1"/>
  <c r="DW162" i="1"/>
  <c r="DW158" i="1"/>
  <c r="DW154" i="1"/>
  <c r="DW151" i="1"/>
  <c r="DW147" i="1"/>
  <c r="DW143" i="1"/>
  <c r="DW139" i="1"/>
  <c r="DW135" i="1"/>
  <c r="DW131" i="1"/>
  <c r="DW14" i="1"/>
  <c r="DW123" i="1"/>
  <c r="DW119" i="1"/>
  <c r="DW115" i="1"/>
  <c r="DW111" i="1"/>
  <c r="DW107" i="1"/>
  <c r="DW103" i="1"/>
  <c r="DW99" i="1"/>
  <c r="DW95" i="1"/>
  <c r="DW91" i="1"/>
  <c r="DW87" i="1"/>
  <c r="DW83" i="1"/>
  <c r="DW79" i="1"/>
  <c r="DW75" i="1"/>
  <c r="DW71" i="1"/>
  <c r="DW121" i="1"/>
  <c r="DW63" i="1"/>
  <c r="DW59" i="1"/>
  <c r="DW55" i="1"/>
  <c r="DW51" i="1"/>
  <c r="DW47" i="1"/>
  <c r="DW43" i="1"/>
  <c r="DW39" i="1"/>
  <c r="DW209" i="1"/>
  <c r="DW31" i="1"/>
  <c r="DW27" i="1"/>
  <c r="DW23" i="1"/>
  <c r="DW15" i="1"/>
  <c r="DW11" i="1"/>
  <c r="DW7" i="1"/>
  <c r="CS11" i="1" l="1"/>
  <c r="CM63" i="1"/>
  <c r="CM71" i="1"/>
  <c r="CS79" i="1"/>
  <c r="CM91" i="1"/>
  <c r="CM95" i="1"/>
  <c r="CM135" i="1"/>
  <c r="CS139" i="1"/>
  <c r="CS151" i="1"/>
  <c r="CS222" i="1"/>
  <c r="CS226" i="1"/>
  <c r="CS10" i="1"/>
  <c r="CM18" i="1"/>
  <c r="CM22" i="1"/>
  <c r="CM26" i="1"/>
  <c r="CM30" i="1"/>
  <c r="CS34" i="1"/>
  <c r="CM38" i="1"/>
  <c r="CS46" i="1"/>
  <c r="CS50" i="1"/>
  <c r="CS54" i="1"/>
  <c r="CM62" i="1"/>
  <c r="CM66" i="1"/>
  <c r="CS184" i="1"/>
  <c r="CS74" i="1"/>
  <c r="CS78" i="1"/>
  <c r="CM82" i="1"/>
  <c r="CS86" i="1"/>
  <c r="CM163" i="1"/>
  <c r="CS98" i="1"/>
  <c r="CS102" i="1"/>
  <c r="CS106" i="1"/>
  <c r="CS89" i="1"/>
  <c r="CS118" i="1"/>
  <c r="CS122" i="1"/>
  <c r="CS126" i="1"/>
  <c r="CS130" i="1"/>
  <c r="CM134" i="1"/>
  <c r="CS138" i="1"/>
  <c r="CM146" i="1"/>
  <c r="CM150" i="1"/>
  <c r="CM157" i="1"/>
  <c r="CM161" i="1"/>
  <c r="CS165" i="1"/>
  <c r="CM173" i="1"/>
  <c r="CS177" i="1"/>
  <c r="CS181" i="1"/>
  <c r="CM189" i="1"/>
  <c r="CS193" i="1"/>
  <c r="CS197" i="1"/>
  <c r="CS205" i="1"/>
  <c r="CM114" i="1"/>
  <c r="CM217" i="1"/>
  <c r="CS225" i="1"/>
  <c r="CM229" i="1"/>
  <c r="CM233" i="1"/>
  <c r="CS237" i="1"/>
  <c r="CS241" i="1"/>
  <c r="CM245" i="1"/>
  <c r="CS249" i="1"/>
  <c r="CS253" i="1"/>
  <c r="CS257" i="1"/>
  <c r="CM261" i="1"/>
  <c r="CS264" i="1"/>
  <c r="CS268" i="1"/>
  <c r="CM271" i="1"/>
  <c r="CS7" i="1"/>
  <c r="CS15" i="1"/>
  <c r="CS23" i="1"/>
  <c r="CM31" i="1"/>
  <c r="CM39" i="1"/>
  <c r="CS51" i="1"/>
  <c r="CM75" i="1"/>
  <c r="CM99" i="1"/>
  <c r="CM107" i="1"/>
  <c r="CS111" i="1"/>
  <c r="CM119" i="1"/>
  <c r="CM14" i="1"/>
  <c r="CM147" i="1"/>
  <c r="CS166" i="1"/>
  <c r="CM174" i="1"/>
  <c r="CM182" i="1"/>
  <c r="CS190" i="1"/>
  <c r="CM198" i="1"/>
  <c r="CS206" i="1"/>
  <c r="CS210" i="1"/>
  <c r="CS234" i="1"/>
  <c r="CM250" i="1"/>
  <c r="CM258" i="1"/>
  <c r="CS9" i="1"/>
  <c r="CS17" i="1"/>
  <c r="CM25" i="1"/>
  <c r="CS33" i="1"/>
  <c r="CS37" i="1"/>
  <c r="CS69" i="1"/>
  <c r="CS77" i="1"/>
  <c r="CM85" i="1"/>
  <c r="CS113" i="1"/>
  <c r="CM70" i="1"/>
  <c r="CS156" i="1"/>
  <c r="CM168" i="1"/>
  <c r="CM200" i="1"/>
  <c r="CS208" i="1"/>
  <c r="CS220" i="1"/>
  <c r="CS232" i="1"/>
  <c r="CS252" i="1"/>
  <c r="CM267" i="1"/>
  <c r="CM90" i="1"/>
  <c r="CS209" i="1"/>
  <c r="CM43" i="1"/>
  <c r="CM47" i="1"/>
  <c r="CS55" i="1"/>
  <c r="CS59" i="1"/>
  <c r="CM83" i="1"/>
  <c r="CM131" i="1"/>
  <c r="CS158" i="1"/>
  <c r="CM162" i="1"/>
  <c r="CS170" i="1"/>
  <c r="CS178" i="1"/>
  <c r="CM19" i="1"/>
  <c r="CM194" i="1"/>
  <c r="CS255" i="1"/>
  <c r="CS230" i="1"/>
  <c r="CS242" i="1"/>
  <c r="CS246" i="1"/>
  <c r="CS254" i="1"/>
  <c r="CS262" i="1"/>
  <c r="CM13" i="1"/>
  <c r="CS29" i="1"/>
  <c r="CS41" i="1"/>
  <c r="CM49" i="1"/>
  <c r="CM127" i="1"/>
  <c r="CM73" i="1"/>
  <c r="CM81" i="1"/>
  <c r="CM124" i="1"/>
  <c r="CM101" i="1"/>
  <c r="CM129" i="1"/>
  <c r="CM160" i="1"/>
  <c r="CM172" i="1"/>
  <c r="CS196" i="1"/>
  <c r="CM204" i="1"/>
  <c r="CS228" i="1"/>
  <c r="CM236" i="1"/>
  <c r="CM256" i="1"/>
  <c r="CM8" i="1"/>
  <c r="CM16" i="1"/>
  <c r="CM24" i="1"/>
  <c r="CM36" i="1"/>
  <c r="CM40" i="1"/>
  <c r="CM48" i="1"/>
  <c r="CM52" i="1"/>
  <c r="CM56" i="1"/>
  <c r="CM64" i="1"/>
  <c r="CM68" i="1"/>
  <c r="CM72" i="1"/>
  <c r="CM80" i="1"/>
  <c r="CM84" i="1"/>
  <c r="CS88" i="1"/>
  <c r="CS104" i="1"/>
  <c r="CM112" i="1"/>
  <c r="CS67" i="1"/>
  <c r="CS128" i="1"/>
  <c r="CS136" i="1"/>
  <c r="CM140" i="1"/>
  <c r="CM144" i="1"/>
  <c r="CM152" i="1"/>
  <c r="CM65" i="1"/>
  <c r="CM167" i="1"/>
  <c r="CM171" i="1"/>
  <c r="CM175" i="1"/>
  <c r="CM179" i="1"/>
  <c r="CM183" i="1"/>
  <c r="CM35" i="1"/>
  <c r="CM195" i="1"/>
  <c r="CM199" i="1"/>
  <c r="CM211" i="1"/>
  <c r="CS215" i="1"/>
  <c r="CM231" i="1"/>
  <c r="CS239" i="1"/>
  <c r="CM247" i="1"/>
  <c r="CM251" i="1"/>
  <c r="CM202" i="1"/>
  <c r="CM259" i="1"/>
  <c r="CM263" i="1"/>
  <c r="CM266" i="1"/>
  <c r="CS269" i="1"/>
  <c r="CM197" i="1" l="1"/>
  <c r="CM184" i="1"/>
  <c r="CM226" i="1"/>
  <c r="CM50" i="1"/>
  <c r="CM77" i="1"/>
  <c r="CM17" i="1"/>
  <c r="CM54" i="1"/>
  <c r="CM46" i="1"/>
  <c r="CM34" i="1"/>
  <c r="CM79" i="1"/>
  <c r="CM11" i="1"/>
  <c r="CM205" i="1"/>
  <c r="CM78" i="1"/>
  <c r="CM210" i="1"/>
  <c r="CM23" i="1"/>
  <c r="CM252" i="1"/>
  <c r="CM151" i="1"/>
  <c r="CM190" i="1"/>
  <c r="CM118" i="1"/>
  <c r="CM208" i="1"/>
  <c r="CM51" i="1"/>
  <c r="CM262" i="1"/>
  <c r="CM242" i="1"/>
  <c r="CM158" i="1"/>
  <c r="CM106" i="1"/>
  <c r="CM98" i="1"/>
  <c r="CM170" i="1"/>
  <c r="CM122" i="1"/>
  <c r="CM89" i="1"/>
  <c r="CM255" i="1"/>
  <c r="CM225" i="1"/>
  <c r="CM138" i="1"/>
  <c r="CM130" i="1"/>
  <c r="CM102" i="1"/>
  <c r="CS13" i="1"/>
  <c r="CM249" i="1"/>
  <c r="CM156" i="1"/>
  <c r="CM264" i="1"/>
  <c r="CM257" i="1"/>
  <c r="CM10" i="1"/>
  <c r="CM59" i="1"/>
  <c r="CM139" i="1"/>
  <c r="CS14" i="1"/>
  <c r="CS107" i="1"/>
  <c r="CS233" i="1"/>
  <c r="CM181" i="1"/>
  <c r="CM241" i="1"/>
  <c r="CM165" i="1"/>
  <c r="CM206" i="1"/>
  <c r="CM220" i="1"/>
  <c r="CS263" i="1"/>
  <c r="CS247" i="1"/>
  <c r="CS231" i="1"/>
  <c r="CS194" i="1"/>
  <c r="CS85" i="1"/>
  <c r="CM7" i="1"/>
  <c r="CM136" i="1"/>
  <c r="CM104" i="1"/>
  <c r="CM67" i="1"/>
  <c r="CM193" i="1"/>
  <c r="CM177" i="1"/>
  <c r="CS72" i="1"/>
  <c r="CS56" i="1"/>
  <c r="CS40" i="1"/>
  <c r="CS24" i="1"/>
  <c r="CS8" i="1"/>
  <c r="CS160" i="1"/>
  <c r="CS129" i="1"/>
  <c r="CM33" i="1"/>
  <c r="CS90" i="1"/>
  <c r="CS182" i="1"/>
  <c r="CS147" i="1"/>
  <c r="CS39" i="1"/>
  <c r="CS189" i="1"/>
  <c r="CS173" i="1"/>
  <c r="CS62" i="1"/>
  <c r="CS38" i="1"/>
  <c r="CS135" i="1"/>
  <c r="CM113" i="1"/>
  <c r="CS199" i="1"/>
  <c r="CS183" i="1"/>
  <c r="CS167" i="1"/>
  <c r="CS152" i="1"/>
  <c r="CM234" i="1"/>
  <c r="CS124" i="1"/>
  <c r="CS19" i="1"/>
  <c r="CM269" i="1"/>
  <c r="CM239" i="1"/>
  <c r="CM128" i="1"/>
  <c r="CM209" i="1"/>
  <c r="CM41" i="1"/>
  <c r="CM55" i="1"/>
  <c r="CS258" i="1"/>
  <c r="CM29" i="1"/>
  <c r="CQ235" i="1"/>
  <c r="CR235" i="1"/>
  <c r="CN235" i="1"/>
  <c r="CO235" i="1"/>
  <c r="CQ219" i="1"/>
  <c r="CR219" i="1"/>
  <c r="CN219" i="1"/>
  <c r="CO219" i="1"/>
  <c r="CQ203" i="1"/>
  <c r="CR203" i="1"/>
  <c r="CN203" i="1"/>
  <c r="CO203" i="1"/>
  <c r="CQ187" i="1"/>
  <c r="CR187" i="1"/>
  <c r="CN187" i="1"/>
  <c r="CO187" i="1"/>
  <c r="CQ92" i="1"/>
  <c r="CR92" i="1"/>
  <c r="CN92" i="1"/>
  <c r="CO92" i="1"/>
  <c r="CQ108" i="1"/>
  <c r="CR108" i="1"/>
  <c r="CN108" i="1"/>
  <c r="CO108" i="1"/>
  <c r="CQ180" i="1"/>
  <c r="CR180" i="1"/>
  <c r="CN180" i="1"/>
  <c r="CO180" i="1"/>
  <c r="CQ60" i="1"/>
  <c r="CR60" i="1"/>
  <c r="CN60" i="1"/>
  <c r="CO60" i="1"/>
  <c r="CQ44" i="1"/>
  <c r="CR44" i="1"/>
  <c r="CN44" i="1"/>
  <c r="CO44" i="1"/>
  <c r="CR28" i="1"/>
  <c r="CN28" i="1"/>
  <c r="CO28" i="1"/>
  <c r="CQ28" i="1"/>
  <c r="CR12" i="1"/>
  <c r="CN12" i="1"/>
  <c r="CQ12" i="1"/>
  <c r="CO12" i="1"/>
  <c r="CR216" i="1"/>
  <c r="CN216" i="1"/>
  <c r="CO216" i="1"/>
  <c r="CQ216" i="1"/>
  <c r="CR176" i="1"/>
  <c r="CN176" i="1"/>
  <c r="CO176" i="1"/>
  <c r="CQ176" i="1"/>
  <c r="CR109" i="1"/>
  <c r="CN109" i="1"/>
  <c r="CO109" i="1"/>
  <c r="CQ109" i="1"/>
  <c r="CR97" i="1"/>
  <c r="CQ97" i="1"/>
  <c r="CN97" i="1"/>
  <c r="CO97" i="1"/>
  <c r="CQ265" i="1"/>
  <c r="CR265" i="1"/>
  <c r="CN265" i="1"/>
  <c r="CO265" i="1"/>
  <c r="CQ218" i="1"/>
  <c r="CR218" i="1"/>
  <c r="CN218" i="1"/>
  <c r="CO218" i="1"/>
  <c r="CR143" i="1"/>
  <c r="CQ143" i="1"/>
  <c r="CN143" i="1"/>
  <c r="CO143" i="1"/>
  <c r="CR115" i="1"/>
  <c r="CN115" i="1"/>
  <c r="CQ115" i="1"/>
  <c r="CO115" i="1"/>
  <c r="CR47" i="1"/>
  <c r="CQ47" i="1"/>
  <c r="CN47" i="1"/>
  <c r="CO47" i="1"/>
  <c r="CQ27" i="1"/>
  <c r="CR27" i="1"/>
  <c r="CN27" i="1"/>
  <c r="CO27" i="1"/>
  <c r="CR260" i="1"/>
  <c r="CO260" i="1"/>
  <c r="CN260" i="1"/>
  <c r="CQ260" i="1"/>
  <c r="CR240" i="1"/>
  <c r="CO240" i="1"/>
  <c r="CQ240" i="1"/>
  <c r="CN240" i="1"/>
  <c r="CQ238" i="1"/>
  <c r="CR238" i="1"/>
  <c r="CN238" i="1"/>
  <c r="CO238" i="1"/>
  <c r="CQ271" i="1"/>
  <c r="CR271" i="1"/>
  <c r="CN271" i="1"/>
  <c r="CO271" i="1"/>
  <c r="CO221" i="1"/>
  <c r="CQ221" i="1"/>
  <c r="CR221" i="1"/>
  <c r="CN221" i="1"/>
  <c r="CO213" i="1"/>
  <c r="CQ213" i="1"/>
  <c r="CN213" i="1"/>
  <c r="CR213" i="1"/>
  <c r="CQ94" i="1"/>
  <c r="CR94" i="1"/>
  <c r="CO94" i="1"/>
  <c r="CN94" i="1"/>
  <c r="CQ18" i="1"/>
  <c r="CR18" i="1"/>
  <c r="CO18" i="1"/>
  <c r="CN18" i="1"/>
  <c r="CQ223" i="1"/>
  <c r="CR223" i="1"/>
  <c r="CN223" i="1"/>
  <c r="CO223" i="1"/>
  <c r="CS219" i="1"/>
  <c r="CM213" i="1"/>
  <c r="CQ207" i="1"/>
  <c r="CR207" i="1"/>
  <c r="CN207" i="1"/>
  <c r="CO207" i="1"/>
  <c r="CS203" i="1"/>
  <c r="CS92" i="1"/>
  <c r="CQ112" i="1"/>
  <c r="CN112" i="1"/>
  <c r="CO112" i="1"/>
  <c r="CR112" i="1"/>
  <c r="CS108" i="1"/>
  <c r="CQ96" i="1"/>
  <c r="CN96" i="1"/>
  <c r="CO96" i="1"/>
  <c r="CR96" i="1"/>
  <c r="CS180" i="1"/>
  <c r="CQ153" i="1"/>
  <c r="CR153" i="1"/>
  <c r="CN153" i="1"/>
  <c r="CO153" i="1"/>
  <c r="CQ76" i="1"/>
  <c r="CR76" i="1"/>
  <c r="CN76" i="1"/>
  <c r="CO76" i="1"/>
  <c r="CR117" i="1"/>
  <c r="CN117" i="1"/>
  <c r="CO117" i="1"/>
  <c r="CQ117" i="1"/>
  <c r="CR53" i="1"/>
  <c r="CN53" i="1"/>
  <c r="CO53" i="1"/>
  <c r="CQ53" i="1"/>
  <c r="CR149" i="1"/>
  <c r="CN149" i="1"/>
  <c r="CO149" i="1"/>
  <c r="CQ149" i="1"/>
  <c r="CR141" i="1"/>
  <c r="CN141" i="1"/>
  <c r="CO141" i="1"/>
  <c r="CQ141" i="1"/>
  <c r="CR61" i="1"/>
  <c r="CN61" i="1"/>
  <c r="CO61" i="1"/>
  <c r="CQ61" i="1"/>
  <c r="CQ250" i="1"/>
  <c r="CR250" i="1"/>
  <c r="CN250" i="1"/>
  <c r="CO250" i="1"/>
  <c r="CQ146" i="1"/>
  <c r="CO146" i="1"/>
  <c r="CR146" i="1"/>
  <c r="CN146" i="1"/>
  <c r="CM60" i="1"/>
  <c r="CM44" i="1"/>
  <c r="CM61" i="1"/>
  <c r="CS266" i="1"/>
  <c r="CQ159" i="1"/>
  <c r="CN159" i="1"/>
  <c r="CR159" i="1"/>
  <c r="CO159" i="1"/>
  <c r="CQ144" i="1"/>
  <c r="CN144" i="1"/>
  <c r="CO144" i="1"/>
  <c r="CR144" i="1"/>
  <c r="CS44" i="1"/>
  <c r="CQ32" i="1"/>
  <c r="CN32" i="1"/>
  <c r="CO32" i="1"/>
  <c r="CR32" i="1"/>
  <c r="CS28" i="1"/>
  <c r="CR16" i="1"/>
  <c r="CQ16" i="1"/>
  <c r="CN16" i="1"/>
  <c r="CO16" i="1"/>
  <c r="CS12" i="1"/>
  <c r="CR244" i="1"/>
  <c r="CO244" i="1"/>
  <c r="CQ244" i="1"/>
  <c r="CN244" i="1"/>
  <c r="CR224" i="1"/>
  <c r="CN224" i="1"/>
  <c r="CO224" i="1"/>
  <c r="CQ224" i="1"/>
  <c r="CS216" i="1"/>
  <c r="CR204" i="1"/>
  <c r="CN204" i="1"/>
  <c r="CO204" i="1"/>
  <c r="CQ204" i="1"/>
  <c r="CN191" i="1"/>
  <c r="CQ191" i="1"/>
  <c r="CO191" i="1"/>
  <c r="CR191" i="1"/>
  <c r="CS176" i="1"/>
  <c r="CQ164" i="1"/>
  <c r="CN164" i="1"/>
  <c r="CR164" i="1"/>
  <c r="CO164" i="1"/>
  <c r="CR145" i="1"/>
  <c r="CQ145" i="1"/>
  <c r="CN145" i="1"/>
  <c r="CO145" i="1"/>
  <c r="CR125" i="1"/>
  <c r="CN125" i="1"/>
  <c r="CO125" i="1"/>
  <c r="CQ125" i="1"/>
  <c r="CS117" i="1"/>
  <c r="CS97" i="1"/>
  <c r="CR73" i="1"/>
  <c r="CQ73" i="1"/>
  <c r="CN73" i="1"/>
  <c r="CO73" i="1"/>
  <c r="CS127" i="1"/>
  <c r="CS53" i="1"/>
  <c r="CQ254" i="1"/>
  <c r="CR254" i="1"/>
  <c r="CN254" i="1"/>
  <c r="CO254" i="1"/>
  <c r="CR19" i="1"/>
  <c r="CQ19" i="1"/>
  <c r="CN19" i="1"/>
  <c r="CO19" i="1"/>
  <c r="CR162" i="1"/>
  <c r="CQ162" i="1"/>
  <c r="CN162" i="1"/>
  <c r="CO162" i="1"/>
  <c r="CS143" i="1"/>
  <c r="CR123" i="1"/>
  <c r="CN123" i="1"/>
  <c r="CQ123" i="1"/>
  <c r="CO123" i="1"/>
  <c r="CM109" i="1"/>
  <c r="CS47" i="1"/>
  <c r="CS27" i="1"/>
  <c r="CS260" i="1"/>
  <c r="CR248" i="1"/>
  <c r="CO248" i="1"/>
  <c r="CQ248" i="1"/>
  <c r="CN248" i="1"/>
  <c r="CM218" i="1"/>
  <c r="CQ155" i="1"/>
  <c r="CN155" i="1"/>
  <c r="CR155" i="1"/>
  <c r="CO155" i="1"/>
  <c r="CN168" i="1"/>
  <c r="CQ168" i="1"/>
  <c r="CO168" i="1"/>
  <c r="CR168" i="1"/>
  <c r="CM248" i="1"/>
  <c r="CQ198" i="1"/>
  <c r="CR198" i="1"/>
  <c r="CN198" i="1"/>
  <c r="CO198" i="1"/>
  <c r="CM145" i="1"/>
  <c r="CM125" i="1"/>
  <c r="CM37" i="1"/>
  <c r="CS271" i="1"/>
  <c r="CQ261" i="1"/>
  <c r="CN261" i="1"/>
  <c r="CO261" i="1"/>
  <c r="CR261" i="1"/>
  <c r="CQ245" i="1"/>
  <c r="CN245" i="1"/>
  <c r="CO245" i="1"/>
  <c r="CR245" i="1"/>
  <c r="CO229" i="1"/>
  <c r="CQ229" i="1"/>
  <c r="CN229" i="1"/>
  <c r="CR229" i="1"/>
  <c r="CM219" i="1"/>
  <c r="CO201" i="1"/>
  <c r="CQ201" i="1"/>
  <c r="CN201" i="1"/>
  <c r="CR201" i="1"/>
  <c r="CQ185" i="1"/>
  <c r="CR185" i="1"/>
  <c r="CO185" i="1"/>
  <c r="CN185" i="1"/>
  <c r="CQ169" i="1"/>
  <c r="CR169" i="1"/>
  <c r="CO169" i="1"/>
  <c r="CN169" i="1"/>
  <c r="CQ161" i="1"/>
  <c r="CO161" i="1"/>
  <c r="CR161" i="1"/>
  <c r="CN161" i="1"/>
  <c r="CM159" i="1"/>
  <c r="CQ142" i="1"/>
  <c r="CR142" i="1"/>
  <c r="CO142" i="1"/>
  <c r="CN142" i="1"/>
  <c r="CQ134" i="1"/>
  <c r="CR134" i="1"/>
  <c r="CO134" i="1"/>
  <c r="CN134" i="1"/>
  <c r="CQ110" i="1"/>
  <c r="CR110" i="1"/>
  <c r="CO110" i="1"/>
  <c r="CN110" i="1"/>
  <c r="CQ66" i="1"/>
  <c r="CO66" i="1"/>
  <c r="CR66" i="1"/>
  <c r="CN66" i="1"/>
  <c r="CQ58" i="1"/>
  <c r="CO58" i="1"/>
  <c r="CR58" i="1"/>
  <c r="CN58" i="1"/>
  <c r="CQ42" i="1"/>
  <c r="CO42" i="1"/>
  <c r="CR42" i="1"/>
  <c r="CN42" i="1"/>
  <c r="CR186" i="1"/>
  <c r="CO186" i="1"/>
  <c r="CN186" i="1"/>
  <c r="CQ186" i="1"/>
  <c r="CQ214" i="1"/>
  <c r="CR214" i="1"/>
  <c r="CN214" i="1"/>
  <c r="CO214" i="1"/>
  <c r="CS91" i="1"/>
  <c r="CQ243" i="1"/>
  <c r="CR243" i="1"/>
  <c r="CN243" i="1"/>
  <c r="CO243" i="1"/>
  <c r="CQ227" i="1"/>
  <c r="CR227" i="1"/>
  <c r="CN227" i="1"/>
  <c r="CO227" i="1"/>
  <c r="CS223" i="1"/>
  <c r="CQ211" i="1"/>
  <c r="CR211" i="1"/>
  <c r="CN211" i="1"/>
  <c r="CO211" i="1"/>
  <c r="CS207" i="1"/>
  <c r="CM201" i="1"/>
  <c r="CQ195" i="1"/>
  <c r="CR195" i="1"/>
  <c r="CN195" i="1"/>
  <c r="CO195" i="1"/>
  <c r="CS35" i="1"/>
  <c r="CM185" i="1"/>
  <c r="CN179" i="1"/>
  <c r="CQ179" i="1"/>
  <c r="CO179" i="1"/>
  <c r="CR179" i="1"/>
  <c r="CS175" i="1"/>
  <c r="CM169" i="1"/>
  <c r="CN65" i="1"/>
  <c r="CQ65" i="1"/>
  <c r="CO65" i="1"/>
  <c r="CR65" i="1"/>
  <c r="CS159" i="1"/>
  <c r="CQ148" i="1"/>
  <c r="CR148" i="1"/>
  <c r="CN148" i="1"/>
  <c r="CO148" i="1"/>
  <c r="CS144" i="1"/>
  <c r="CQ132" i="1"/>
  <c r="CR132" i="1"/>
  <c r="CN132" i="1"/>
  <c r="CO132" i="1"/>
  <c r="CQ116" i="1"/>
  <c r="CR116" i="1"/>
  <c r="CN116" i="1"/>
  <c r="CO116" i="1"/>
  <c r="CS112" i="1"/>
  <c r="CQ100" i="1"/>
  <c r="CR100" i="1"/>
  <c r="CN100" i="1"/>
  <c r="CO100" i="1"/>
  <c r="CS96" i="1"/>
  <c r="CQ84" i="1"/>
  <c r="CR84" i="1"/>
  <c r="CN84" i="1"/>
  <c r="CO84" i="1"/>
  <c r="CS80" i="1"/>
  <c r="CM74" i="1"/>
  <c r="CQ68" i="1"/>
  <c r="CR68" i="1"/>
  <c r="CN68" i="1"/>
  <c r="CO68" i="1"/>
  <c r="CS64" i="1"/>
  <c r="CM58" i="1"/>
  <c r="CQ52" i="1"/>
  <c r="CR52" i="1"/>
  <c r="CN52" i="1"/>
  <c r="CO52" i="1"/>
  <c r="CS48" i="1"/>
  <c r="CM42" i="1"/>
  <c r="CQ36" i="1"/>
  <c r="CR36" i="1"/>
  <c r="CN36" i="1"/>
  <c r="CO36" i="1"/>
  <c r="CS32" i="1"/>
  <c r="CR20" i="1"/>
  <c r="CQ20" i="1"/>
  <c r="CN20" i="1"/>
  <c r="CO20" i="1"/>
  <c r="CS16" i="1"/>
  <c r="CS256" i="1"/>
  <c r="CS244" i="1"/>
  <c r="CS224" i="1"/>
  <c r="CR212" i="1"/>
  <c r="CN212" i="1"/>
  <c r="CO212" i="1"/>
  <c r="CQ212" i="1"/>
  <c r="CS204" i="1"/>
  <c r="CR192" i="1"/>
  <c r="CN192" i="1"/>
  <c r="CO192" i="1"/>
  <c r="CQ192" i="1"/>
  <c r="CS191" i="1"/>
  <c r="CN172" i="1"/>
  <c r="CO172" i="1"/>
  <c r="CQ172" i="1"/>
  <c r="CR172" i="1"/>
  <c r="CS164" i="1"/>
  <c r="CN120" i="1"/>
  <c r="CQ120" i="1"/>
  <c r="CO120" i="1"/>
  <c r="CR120" i="1"/>
  <c r="CS145" i="1"/>
  <c r="CS125" i="1"/>
  <c r="CM115" i="1"/>
  <c r="CR101" i="1"/>
  <c r="CN101" i="1"/>
  <c r="CO101" i="1"/>
  <c r="CQ101" i="1"/>
  <c r="CR81" i="1"/>
  <c r="CQ81" i="1"/>
  <c r="CN81" i="1"/>
  <c r="CO81" i="1"/>
  <c r="CS73" i="1"/>
  <c r="CR49" i="1"/>
  <c r="CQ49" i="1"/>
  <c r="CN49" i="1"/>
  <c r="CO49" i="1"/>
  <c r="CQ242" i="1"/>
  <c r="CR242" i="1"/>
  <c r="CN242" i="1"/>
  <c r="CO242" i="1"/>
  <c r="CQ194" i="1"/>
  <c r="CR194" i="1"/>
  <c r="CN194" i="1"/>
  <c r="CO194" i="1"/>
  <c r="CM191" i="1"/>
  <c r="CS162" i="1"/>
  <c r="CM120" i="1"/>
  <c r="CM141" i="1"/>
  <c r="CR131" i="1"/>
  <c r="CN131" i="1"/>
  <c r="CQ131" i="1"/>
  <c r="CO131" i="1"/>
  <c r="CS123" i="1"/>
  <c r="CR103" i="1"/>
  <c r="CQ103" i="1"/>
  <c r="CN103" i="1"/>
  <c r="CO103" i="1"/>
  <c r="CR83" i="1"/>
  <c r="CN83" i="1"/>
  <c r="CQ83" i="1"/>
  <c r="CO83" i="1"/>
  <c r="CR43" i="1"/>
  <c r="CN43" i="1"/>
  <c r="CO43" i="1"/>
  <c r="CQ43" i="1"/>
  <c r="CR270" i="1"/>
  <c r="CQ270" i="1"/>
  <c r="CN270" i="1"/>
  <c r="CO270" i="1"/>
  <c r="CS248" i="1"/>
  <c r="CM238" i="1"/>
  <c r="CM214" i="1"/>
  <c r="CR200" i="1"/>
  <c r="CN200" i="1"/>
  <c r="CO200" i="1"/>
  <c r="CQ200" i="1"/>
  <c r="CR188" i="1"/>
  <c r="CN188" i="1"/>
  <c r="CO188" i="1"/>
  <c r="CQ188" i="1"/>
  <c r="CS155" i="1"/>
  <c r="CS168" i="1"/>
  <c r="CR133" i="1"/>
  <c r="CN133" i="1"/>
  <c r="CO133" i="1"/>
  <c r="CQ133" i="1"/>
  <c r="CR70" i="1"/>
  <c r="CQ70" i="1"/>
  <c r="CN70" i="1"/>
  <c r="CO70" i="1"/>
  <c r="CM103" i="1"/>
  <c r="CR57" i="1"/>
  <c r="CQ57" i="1"/>
  <c r="CN57" i="1"/>
  <c r="CO57" i="1"/>
  <c r="CR45" i="1"/>
  <c r="CN45" i="1"/>
  <c r="CO45" i="1"/>
  <c r="CQ45" i="1"/>
  <c r="CQ25" i="1"/>
  <c r="CR25" i="1"/>
  <c r="CN25" i="1"/>
  <c r="CO25" i="1"/>
  <c r="CM244" i="1"/>
  <c r="CQ234" i="1"/>
  <c r="CR234" i="1"/>
  <c r="CN234" i="1"/>
  <c r="CO234" i="1"/>
  <c r="CS198" i="1"/>
  <c r="CM188" i="1"/>
  <c r="CR174" i="1"/>
  <c r="CN174" i="1"/>
  <c r="CQ174" i="1"/>
  <c r="CO174" i="1"/>
  <c r="CM133" i="1"/>
  <c r="CR119" i="1"/>
  <c r="CQ119" i="1"/>
  <c r="CN119" i="1"/>
  <c r="CO119" i="1"/>
  <c r="CR99" i="1"/>
  <c r="CN99" i="1"/>
  <c r="CQ99" i="1"/>
  <c r="CO99" i="1"/>
  <c r="CR75" i="1"/>
  <c r="CN75" i="1"/>
  <c r="CO75" i="1"/>
  <c r="CQ75" i="1"/>
  <c r="CM57" i="1"/>
  <c r="CM45" i="1"/>
  <c r="CQ31" i="1"/>
  <c r="CR31" i="1"/>
  <c r="CN31" i="1"/>
  <c r="CO31" i="1"/>
  <c r="CS261" i="1"/>
  <c r="CS245" i="1"/>
  <c r="CM243" i="1"/>
  <c r="CM235" i="1"/>
  <c r="CS229" i="1"/>
  <c r="CM227" i="1"/>
  <c r="CO217" i="1"/>
  <c r="CQ217" i="1"/>
  <c r="CN217" i="1"/>
  <c r="CR217" i="1"/>
  <c r="CO114" i="1"/>
  <c r="CQ114" i="1"/>
  <c r="CR114" i="1"/>
  <c r="CN114" i="1"/>
  <c r="CM207" i="1"/>
  <c r="CS201" i="1"/>
  <c r="CS185" i="1"/>
  <c r="CQ177" i="1"/>
  <c r="CO177" i="1"/>
  <c r="CR177" i="1"/>
  <c r="CN177" i="1"/>
  <c r="CS169" i="1"/>
  <c r="CS161" i="1"/>
  <c r="CQ157" i="1"/>
  <c r="CO157" i="1"/>
  <c r="CR157" i="1"/>
  <c r="CN157" i="1"/>
  <c r="CQ150" i="1"/>
  <c r="CR150" i="1"/>
  <c r="CO150" i="1"/>
  <c r="CN150" i="1"/>
  <c r="CS142" i="1"/>
  <c r="CS134" i="1"/>
  <c r="CM132" i="1"/>
  <c r="CM153" i="1"/>
  <c r="CM116" i="1"/>
  <c r="CS110" i="1"/>
  <c r="CM108" i="1"/>
  <c r="CM100" i="1"/>
  <c r="CQ163" i="1"/>
  <c r="CO163" i="1"/>
  <c r="CR163" i="1"/>
  <c r="CN163" i="1"/>
  <c r="CQ82" i="1"/>
  <c r="CO82" i="1"/>
  <c r="CR82" i="1"/>
  <c r="CN82" i="1"/>
  <c r="CS66" i="1"/>
  <c r="CS58" i="1"/>
  <c r="CS42" i="1"/>
  <c r="CR30" i="1"/>
  <c r="CQ30" i="1"/>
  <c r="CO30" i="1"/>
  <c r="CN30" i="1"/>
  <c r="CQ22" i="1"/>
  <c r="CR22" i="1"/>
  <c r="CO22" i="1"/>
  <c r="CN22" i="1"/>
  <c r="CS186" i="1"/>
  <c r="CM12" i="1"/>
  <c r="CS214" i="1"/>
  <c r="CR95" i="1"/>
  <c r="CQ95" i="1"/>
  <c r="CN95" i="1"/>
  <c r="CO95" i="1"/>
  <c r="CR71" i="1"/>
  <c r="CQ71" i="1"/>
  <c r="CN71" i="1"/>
  <c r="CO71" i="1"/>
  <c r="CR63" i="1"/>
  <c r="CQ63" i="1"/>
  <c r="CN63" i="1"/>
  <c r="CO63" i="1"/>
  <c r="CQ266" i="1"/>
  <c r="CR266" i="1"/>
  <c r="CN266" i="1"/>
  <c r="CO266" i="1"/>
  <c r="CQ251" i="1"/>
  <c r="CR251" i="1"/>
  <c r="CN251" i="1"/>
  <c r="CO251" i="1"/>
  <c r="CQ171" i="1"/>
  <c r="CR171" i="1"/>
  <c r="CN171" i="1"/>
  <c r="CO171" i="1"/>
  <c r="CQ140" i="1"/>
  <c r="CR140" i="1"/>
  <c r="CN140" i="1"/>
  <c r="CO140" i="1"/>
  <c r="CR236" i="1"/>
  <c r="CO236" i="1"/>
  <c r="CQ236" i="1"/>
  <c r="CN236" i="1"/>
  <c r="CR196" i="1"/>
  <c r="CN196" i="1"/>
  <c r="CO196" i="1"/>
  <c r="CQ196" i="1"/>
  <c r="CR137" i="1"/>
  <c r="CQ137" i="1"/>
  <c r="CN137" i="1"/>
  <c r="CO137" i="1"/>
  <c r="CR127" i="1"/>
  <c r="CQ127" i="1"/>
  <c r="CN127" i="1"/>
  <c r="CO127" i="1"/>
  <c r="CR21" i="1"/>
  <c r="CN21" i="1"/>
  <c r="CO21" i="1"/>
  <c r="CQ21" i="1"/>
  <c r="CR267" i="1"/>
  <c r="CQ267" i="1"/>
  <c r="CN267" i="1"/>
  <c r="CO267" i="1"/>
  <c r="CR105" i="1"/>
  <c r="CQ105" i="1"/>
  <c r="CN105" i="1"/>
  <c r="CO105" i="1"/>
  <c r="CR93" i="1"/>
  <c r="CN93" i="1"/>
  <c r="CO93" i="1"/>
  <c r="CQ93" i="1"/>
  <c r="CQ9" i="1"/>
  <c r="CR9" i="1"/>
  <c r="CN9" i="1"/>
  <c r="CO9" i="1"/>
  <c r="CM117" i="1"/>
  <c r="CR87" i="1"/>
  <c r="CQ87" i="1"/>
  <c r="CN87" i="1"/>
  <c r="CO87" i="1"/>
  <c r="CQ15" i="1"/>
  <c r="CR15" i="1"/>
  <c r="CN15" i="1"/>
  <c r="CO15" i="1"/>
  <c r="CM203" i="1"/>
  <c r="CM187" i="1"/>
  <c r="CQ86" i="1"/>
  <c r="CR86" i="1"/>
  <c r="CO86" i="1"/>
  <c r="CN86" i="1"/>
  <c r="CM76" i="1"/>
  <c r="CQ26" i="1"/>
  <c r="CO26" i="1"/>
  <c r="CR26" i="1"/>
  <c r="CN26" i="1"/>
  <c r="CR154" i="1"/>
  <c r="CQ154" i="1"/>
  <c r="CN154" i="1"/>
  <c r="CO154" i="1"/>
  <c r="CR91" i="1"/>
  <c r="CN91" i="1"/>
  <c r="CQ91" i="1"/>
  <c r="CO91" i="1"/>
  <c r="CR79" i="1"/>
  <c r="CQ79" i="1"/>
  <c r="CN79" i="1"/>
  <c r="CO79" i="1"/>
  <c r="CR121" i="1"/>
  <c r="CN121" i="1"/>
  <c r="CO121" i="1"/>
  <c r="CQ121" i="1"/>
  <c r="CQ269" i="1"/>
  <c r="CR269" i="1"/>
  <c r="CO269" i="1"/>
  <c r="CN269" i="1"/>
  <c r="CQ202" i="1"/>
  <c r="CR202" i="1"/>
  <c r="CN202" i="1"/>
  <c r="CO202" i="1"/>
  <c r="CS251" i="1"/>
  <c r="CQ239" i="1"/>
  <c r="CR239" i="1"/>
  <c r="CN239" i="1"/>
  <c r="CO239" i="1"/>
  <c r="CS235" i="1"/>
  <c r="CQ35" i="1"/>
  <c r="CR35" i="1"/>
  <c r="CN35" i="1"/>
  <c r="CO35" i="1"/>
  <c r="CS187" i="1"/>
  <c r="CQ175" i="1"/>
  <c r="CN175" i="1"/>
  <c r="CR175" i="1"/>
  <c r="CO175" i="1"/>
  <c r="CS171" i="1"/>
  <c r="CS140" i="1"/>
  <c r="CQ128" i="1"/>
  <c r="CN128" i="1"/>
  <c r="CO128" i="1"/>
  <c r="CR128" i="1"/>
  <c r="CS153" i="1"/>
  <c r="CM86" i="1"/>
  <c r="CQ80" i="1"/>
  <c r="CN80" i="1"/>
  <c r="CO80" i="1"/>
  <c r="CR80" i="1"/>
  <c r="CS76" i="1"/>
  <c r="CQ64" i="1"/>
  <c r="CN64" i="1"/>
  <c r="CO64" i="1"/>
  <c r="CR64" i="1"/>
  <c r="CS60" i="1"/>
  <c r="CQ48" i="1"/>
  <c r="CN48" i="1"/>
  <c r="CO48" i="1"/>
  <c r="CR48" i="1"/>
  <c r="CR256" i="1"/>
  <c r="CO256" i="1"/>
  <c r="CQ256" i="1"/>
  <c r="CN256" i="1"/>
  <c r="CS236" i="1"/>
  <c r="CS137" i="1"/>
  <c r="CM87" i="1"/>
  <c r="CR41" i="1"/>
  <c r="CQ41" i="1"/>
  <c r="CN41" i="1"/>
  <c r="CO41" i="1"/>
  <c r="CQ29" i="1"/>
  <c r="CR29" i="1"/>
  <c r="CN29" i="1"/>
  <c r="CO29" i="1"/>
  <c r="CS21" i="1"/>
  <c r="CQ262" i="1"/>
  <c r="CR262" i="1"/>
  <c r="CN262" i="1"/>
  <c r="CO262" i="1"/>
  <c r="CQ230" i="1"/>
  <c r="CR230" i="1"/>
  <c r="CN230" i="1"/>
  <c r="CO230" i="1"/>
  <c r="CM216" i="1"/>
  <c r="CM176" i="1"/>
  <c r="CS115" i="1"/>
  <c r="CM97" i="1"/>
  <c r="CR55" i="1"/>
  <c r="CQ55" i="1"/>
  <c r="CN55" i="1"/>
  <c r="CO55" i="1"/>
  <c r="CR209" i="1"/>
  <c r="CN209" i="1"/>
  <c r="CO209" i="1"/>
  <c r="CQ209" i="1"/>
  <c r="CS267" i="1"/>
  <c r="CS240" i="1"/>
  <c r="CM230" i="1"/>
  <c r="CN156" i="1"/>
  <c r="CO156" i="1"/>
  <c r="CQ156" i="1"/>
  <c r="CR156" i="1"/>
  <c r="CS149" i="1"/>
  <c r="CR113" i="1"/>
  <c r="CQ113" i="1"/>
  <c r="CN113" i="1"/>
  <c r="CO113" i="1"/>
  <c r="CS105" i="1"/>
  <c r="CS93" i="1"/>
  <c r="CR69" i="1"/>
  <c r="CN69" i="1"/>
  <c r="CO69" i="1"/>
  <c r="CQ69" i="1"/>
  <c r="CS61" i="1"/>
  <c r="CR37" i="1"/>
  <c r="CN37" i="1"/>
  <c r="CO37" i="1"/>
  <c r="CQ37" i="1"/>
  <c r="CQ17" i="1"/>
  <c r="CN17" i="1"/>
  <c r="CR17" i="1"/>
  <c r="CO17" i="1"/>
  <c r="CQ258" i="1"/>
  <c r="CR258" i="1"/>
  <c r="CN258" i="1"/>
  <c r="CO258" i="1"/>
  <c r="CQ210" i="1"/>
  <c r="CR210" i="1"/>
  <c r="CN210" i="1"/>
  <c r="CO210" i="1"/>
  <c r="CQ190" i="1"/>
  <c r="CR190" i="1"/>
  <c r="CN190" i="1"/>
  <c r="CO190" i="1"/>
  <c r="CM155" i="1"/>
  <c r="CR166" i="1"/>
  <c r="CQ166" i="1"/>
  <c r="CN166" i="1"/>
  <c r="CO166" i="1"/>
  <c r="CM137" i="1"/>
  <c r="CR111" i="1"/>
  <c r="CQ111" i="1"/>
  <c r="CN111" i="1"/>
  <c r="CO111" i="1"/>
  <c r="CM105" i="1"/>
  <c r="CS87" i="1"/>
  <c r="CM69" i="1"/>
  <c r="CQ23" i="1"/>
  <c r="CR23" i="1"/>
  <c r="CN23" i="1"/>
  <c r="CO23" i="1"/>
  <c r="CQ268" i="1"/>
  <c r="CN268" i="1"/>
  <c r="CR268" i="1"/>
  <c r="CO268" i="1"/>
  <c r="CQ253" i="1"/>
  <c r="CN253" i="1"/>
  <c r="CR253" i="1"/>
  <c r="CO253" i="1"/>
  <c r="CQ237" i="1"/>
  <c r="CN237" i="1"/>
  <c r="CR237" i="1"/>
  <c r="CO237" i="1"/>
  <c r="CS221" i="1"/>
  <c r="CS213" i="1"/>
  <c r="CO193" i="1"/>
  <c r="CQ193" i="1"/>
  <c r="CR193" i="1"/>
  <c r="CN193" i="1"/>
  <c r="CS146" i="1"/>
  <c r="CQ126" i="1"/>
  <c r="CR126" i="1"/>
  <c r="CO126" i="1"/>
  <c r="CN126" i="1"/>
  <c r="CQ118" i="1"/>
  <c r="CR118" i="1"/>
  <c r="CO118" i="1"/>
  <c r="CN118" i="1"/>
  <c r="CQ102" i="1"/>
  <c r="CR102" i="1"/>
  <c r="CO102" i="1"/>
  <c r="CN102" i="1"/>
  <c r="CS94" i="1"/>
  <c r="CM180" i="1"/>
  <c r="CQ74" i="1"/>
  <c r="CO74" i="1"/>
  <c r="CR74" i="1"/>
  <c r="CN74" i="1"/>
  <c r="CQ50" i="1"/>
  <c r="CO50" i="1"/>
  <c r="CR50" i="1"/>
  <c r="CN50" i="1"/>
  <c r="CQ34" i="1"/>
  <c r="CO34" i="1"/>
  <c r="CR34" i="1"/>
  <c r="CN34" i="1"/>
  <c r="CM32" i="1"/>
  <c r="CS26" i="1"/>
  <c r="CS18" i="1"/>
  <c r="CQ222" i="1"/>
  <c r="CR222" i="1"/>
  <c r="CN222" i="1"/>
  <c r="CO222" i="1"/>
  <c r="CR151" i="1"/>
  <c r="CQ151" i="1"/>
  <c r="CN151" i="1"/>
  <c r="CO151" i="1"/>
  <c r="CR139" i="1"/>
  <c r="CN139" i="1"/>
  <c r="CO139" i="1"/>
  <c r="CQ139" i="1"/>
  <c r="CS121" i="1"/>
  <c r="CQ11" i="1"/>
  <c r="CR11" i="1"/>
  <c r="CN11" i="1"/>
  <c r="CO11" i="1"/>
  <c r="CQ259" i="1"/>
  <c r="CR259" i="1"/>
  <c r="CN259" i="1"/>
  <c r="CO259" i="1"/>
  <c r="CS202" i="1"/>
  <c r="CM268" i="1"/>
  <c r="CQ263" i="1"/>
  <c r="CR263" i="1"/>
  <c r="CN263" i="1"/>
  <c r="CO263" i="1"/>
  <c r="CS259" i="1"/>
  <c r="CM253" i="1"/>
  <c r="CQ247" i="1"/>
  <c r="CR247" i="1"/>
  <c r="CN247" i="1"/>
  <c r="CO247" i="1"/>
  <c r="CS243" i="1"/>
  <c r="CM237" i="1"/>
  <c r="CQ231" i="1"/>
  <c r="CR231" i="1"/>
  <c r="CN231" i="1"/>
  <c r="CO231" i="1"/>
  <c r="CS227" i="1"/>
  <c r="CM221" i="1"/>
  <c r="CQ215" i="1"/>
  <c r="CR215" i="1"/>
  <c r="CN215" i="1"/>
  <c r="CO215" i="1"/>
  <c r="CS211" i="1"/>
  <c r="CQ199" i="1"/>
  <c r="CR199" i="1"/>
  <c r="CN199" i="1"/>
  <c r="CO199" i="1"/>
  <c r="CS195" i="1"/>
  <c r="CR183" i="1"/>
  <c r="CN183" i="1"/>
  <c r="CO183" i="1"/>
  <c r="CQ183" i="1"/>
  <c r="CS179" i="1"/>
  <c r="CR167" i="1"/>
  <c r="CN167" i="1"/>
  <c r="CO167" i="1"/>
  <c r="CQ167" i="1"/>
  <c r="CS65" i="1"/>
  <c r="CR152" i="1"/>
  <c r="CN152" i="1"/>
  <c r="CO152" i="1"/>
  <c r="CQ152" i="1"/>
  <c r="CS148" i="1"/>
  <c r="CM142" i="1"/>
  <c r="CQ136" i="1"/>
  <c r="CN136" i="1"/>
  <c r="CO136" i="1"/>
  <c r="CR136" i="1"/>
  <c r="CS132" i="1"/>
  <c r="CM126" i="1"/>
  <c r="CQ67" i="1"/>
  <c r="CN67" i="1"/>
  <c r="CO67" i="1"/>
  <c r="CR67" i="1"/>
  <c r="CS116" i="1"/>
  <c r="CM110" i="1"/>
  <c r="CQ104" i="1"/>
  <c r="CN104" i="1"/>
  <c r="CO104" i="1"/>
  <c r="CR104" i="1"/>
  <c r="CS100" i="1"/>
  <c r="CM94" i="1"/>
  <c r="CQ88" i="1"/>
  <c r="CN88" i="1"/>
  <c r="CO88" i="1"/>
  <c r="CR88" i="1"/>
  <c r="CS84" i="1"/>
  <c r="CQ72" i="1"/>
  <c r="CN72" i="1"/>
  <c r="CO72" i="1"/>
  <c r="CR72" i="1"/>
  <c r="CS68" i="1"/>
  <c r="CQ56" i="1"/>
  <c r="CN56" i="1"/>
  <c r="CO56" i="1"/>
  <c r="CR56" i="1"/>
  <c r="CS52" i="1"/>
  <c r="CQ40" i="1"/>
  <c r="CN40" i="1"/>
  <c r="CO40" i="1"/>
  <c r="CR40" i="1"/>
  <c r="CS36" i="1"/>
  <c r="CR24" i="1"/>
  <c r="CQ24" i="1"/>
  <c r="CN24" i="1"/>
  <c r="CO24" i="1"/>
  <c r="CS20" i="1"/>
  <c r="CM186" i="1"/>
  <c r="CR8" i="1"/>
  <c r="CQ8" i="1"/>
  <c r="CN8" i="1"/>
  <c r="CO8" i="1"/>
  <c r="CM265" i="1"/>
  <c r="CM254" i="1"/>
  <c r="CR228" i="1"/>
  <c r="CN228" i="1"/>
  <c r="CO228" i="1"/>
  <c r="CQ228" i="1"/>
  <c r="CM222" i="1"/>
  <c r="CS212" i="1"/>
  <c r="CS192" i="1"/>
  <c r="CS172" i="1"/>
  <c r="CR160" i="1"/>
  <c r="CN160" i="1"/>
  <c r="CO160" i="1"/>
  <c r="CQ160" i="1"/>
  <c r="CS120" i="1"/>
  <c r="CM143" i="1"/>
  <c r="CR129" i="1"/>
  <c r="CQ129" i="1"/>
  <c r="CN129" i="1"/>
  <c r="CO129" i="1"/>
  <c r="CM123" i="1"/>
  <c r="CS109" i="1"/>
  <c r="CS101" i="1"/>
  <c r="CR124" i="1"/>
  <c r="CQ124" i="1"/>
  <c r="CN124" i="1"/>
  <c r="CO124" i="1"/>
  <c r="CS81" i="1"/>
  <c r="CS49" i="1"/>
  <c r="CM27" i="1"/>
  <c r="CQ13" i="1"/>
  <c r="CR13" i="1"/>
  <c r="CN13" i="1"/>
  <c r="CO13" i="1"/>
  <c r="CS265" i="1"/>
  <c r="CM260" i="1"/>
  <c r="CQ246" i="1"/>
  <c r="CR246" i="1"/>
  <c r="CN246" i="1"/>
  <c r="CO246" i="1"/>
  <c r="CM240" i="1"/>
  <c r="CM228" i="1"/>
  <c r="CS218" i="1"/>
  <c r="CQ255" i="1"/>
  <c r="CR255" i="1"/>
  <c r="CN255" i="1"/>
  <c r="CO255" i="1"/>
  <c r="CM192" i="1"/>
  <c r="CR178" i="1"/>
  <c r="CQ178" i="1"/>
  <c r="CN178" i="1"/>
  <c r="CO178" i="1"/>
  <c r="CR170" i="1"/>
  <c r="CQ170" i="1"/>
  <c r="CN170" i="1"/>
  <c r="CO170" i="1"/>
  <c r="CR158" i="1"/>
  <c r="CN158" i="1"/>
  <c r="CQ158" i="1"/>
  <c r="CO158" i="1"/>
  <c r="CM149" i="1"/>
  <c r="CS131" i="1"/>
  <c r="CS103" i="1"/>
  <c r="CS83" i="1"/>
  <c r="CR59" i="1"/>
  <c r="CN59" i="1"/>
  <c r="CQ59" i="1"/>
  <c r="CO59" i="1"/>
  <c r="CM53" i="1"/>
  <c r="CS43" i="1"/>
  <c r="CQ90" i="1"/>
  <c r="CR90" i="1"/>
  <c r="CN90" i="1"/>
  <c r="CO90" i="1"/>
  <c r="CS270" i="1"/>
  <c r="CR252" i="1"/>
  <c r="CO252" i="1"/>
  <c r="CQ252" i="1"/>
  <c r="CN252" i="1"/>
  <c r="CM246" i="1"/>
  <c r="CR232" i="1"/>
  <c r="CN232" i="1"/>
  <c r="CO232" i="1"/>
  <c r="CQ232" i="1"/>
  <c r="CR220" i="1"/>
  <c r="CN220" i="1"/>
  <c r="CO220" i="1"/>
  <c r="CQ220" i="1"/>
  <c r="CR208" i="1"/>
  <c r="CN208" i="1"/>
  <c r="CO208" i="1"/>
  <c r="CQ208" i="1"/>
  <c r="CS200" i="1"/>
  <c r="CS188" i="1"/>
  <c r="CM178" i="1"/>
  <c r="CM166" i="1"/>
  <c r="CM154" i="1"/>
  <c r="CS141" i="1"/>
  <c r="CS133" i="1"/>
  <c r="CS70" i="1"/>
  <c r="CM111" i="1"/>
  <c r="CR85" i="1"/>
  <c r="CN85" i="1"/>
  <c r="CO85" i="1"/>
  <c r="CQ85" i="1"/>
  <c r="CR77" i="1"/>
  <c r="CN77" i="1"/>
  <c r="CO77" i="1"/>
  <c r="CQ77" i="1"/>
  <c r="CM121" i="1"/>
  <c r="CS57" i="1"/>
  <c r="CS45" i="1"/>
  <c r="CR33" i="1"/>
  <c r="CQ33" i="1"/>
  <c r="CN33" i="1"/>
  <c r="CO33" i="1"/>
  <c r="CS25" i="1"/>
  <c r="CM15" i="1"/>
  <c r="CM270" i="1"/>
  <c r="CS250" i="1"/>
  <c r="CS238" i="1"/>
  <c r="CM232" i="1"/>
  <c r="CM224" i="1"/>
  <c r="CQ206" i="1"/>
  <c r="CR206" i="1"/>
  <c r="CN206" i="1"/>
  <c r="CO206" i="1"/>
  <c r="CM196" i="1"/>
  <c r="CR182" i="1"/>
  <c r="CQ182" i="1"/>
  <c r="CN182" i="1"/>
  <c r="CO182" i="1"/>
  <c r="CS174" i="1"/>
  <c r="CM164" i="1"/>
  <c r="CR147" i="1"/>
  <c r="CN147" i="1"/>
  <c r="CQ147" i="1"/>
  <c r="CO147" i="1"/>
  <c r="CR14" i="1"/>
  <c r="CQ14" i="1"/>
  <c r="CN14" i="1"/>
  <c r="CO14" i="1"/>
  <c r="CS119" i="1"/>
  <c r="CR107" i="1"/>
  <c r="CN107" i="1"/>
  <c r="CO107" i="1"/>
  <c r="CQ107" i="1"/>
  <c r="CS99" i="1"/>
  <c r="CM93" i="1"/>
  <c r="CS75" i="1"/>
  <c r="CR51" i="1"/>
  <c r="CN51" i="1"/>
  <c r="CQ51" i="1"/>
  <c r="CO51" i="1"/>
  <c r="CR39" i="1"/>
  <c r="CQ39" i="1"/>
  <c r="CN39" i="1"/>
  <c r="CO39" i="1"/>
  <c r="CS31" i="1"/>
  <c r="CM21" i="1"/>
  <c r="CQ7" i="1"/>
  <c r="CR7" i="1"/>
  <c r="CN7" i="1"/>
  <c r="CO7" i="1"/>
  <c r="CQ264" i="1"/>
  <c r="CO264" i="1"/>
  <c r="CR264" i="1"/>
  <c r="CN264" i="1"/>
  <c r="CQ257" i="1"/>
  <c r="CR257" i="1"/>
  <c r="CN257" i="1"/>
  <c r="CO257" i="1"/>
  <c r="CQ249" i="1"/>
  <c r="CO249" i="1"/>
  <c r="CR249" i="1"/>
  <c r="CN249" i="1"/>
  <c r="CQ241" i="1"/>
  <c r="CR241" i="1"/>
  <c r="CO241" i="1"/>
  <c r="CN241" i="1"/>
  <c r="CO233" i="1"/>
  <c r="CQ233" i="1"/>
  <c r="CR233" i="1"/>
  <c r="CN233" i="1"/>
  <c r="CO225" i="1"/>
  <c r="CQ225" i="1"/>
  <c r="CR225" i="1"/>
  <c r="CN225" i="1"/>
  <c r="CM223" i="1"/>
  <c r="CS217" i="1"/>
  <c r="CM215" i="1"/>
  <c r="CS114" i="1"/>
  <c r="CO205" i="1"/>
  <c r="CQ205" i="1"/>
  <c r="CR205" i="1"/>
  <c r="CN205" i="1"/>
  <c r="CO197" i="1"/>
  <c r="CQ197" i="1"/>
  <c r="CN197" i="1"/>
  <c r="CR197" i="1"/>
  <c r="CO189" i="1"/>
  <c r="CQ189" i="1"/>
  <c r="CR189" i="1"/>
  <c r="CN189" i="1"/>
  <c r="CQ181" i="1"/>
  <c r="CO181" i="1"/>
  <c r="CR181" i="1"/>
  <c r="CN181" i="1"/>
  <c r="CQ173" i="1"/>
  <c r="CO173" i="1"/>
  <c r="CR173" i="1"/>
  <c r="CN173" i="1"/>
  <c r="CQ165" i="1"/>
  <c r="CO165" i="1"/>
  <c r="CN165" i="1"/>
  <c r="CR165" i="1"/>
  <c r="CS157" i="1"/>
  <c r="CM92" i="1"/>
  <c r="CS150" i="1"/>
  <c r="CM148" i="1"/>
  <c r="CQ138" i="1"/>
  <c r="CO138" i="1"/>
  <c r="CR138" i="1"/>
  <c r="CN138" i="1"/>
  <c r="CQ130" i="1"/>
  <c r="CO130" i="1"/>
  <c r="CR130" i="1"/>
  <c r="CN130" i="1"/>
  <c r="CQ122" i="1"/>
  <c r="CO122" i="1"/>
  <c r="CR122" i="1"/>
  <c r="CN122" i="1"/>
  <c r="CQ89" i="1"/>
  <c r="CO89" i="1"/>
  <c r="CR89" i="1"/>
  <c r="CN89" i="1"/>
  <c r="CQ106" i="1"/>
  <c r="CO106" i="1"/>
  <c r="CR106" i="1"/>
  <c r="CN106" i="1"/>
  <c r="CQ98" i="1"/>
  <c r="CO98" i="1"/>
  <c r="CR98" i="1"/>
  <c r="CN98" i="1"/>
  <c r="CM96" i="1"/>
  <c r="CS163" i="1"/>
  <c r="CM88" i="1"/>
  <c r="CS82" i="1"/>
  <c r="CQ78" i="1"/>
  <c r="CR78" i="1"/>
  <c r="CO78" i="1"/>
  <c r="CN78" i="1"/>
  <c r="CQ184" i="1"/>
  <c r="CR184" i="1"/>
  <c r="CO184" i="1"/>
  <c r="CN184" i="1"/>
  <c r="CQ62" i="1"/>
  <c r="CR62" i="1"/>
  <c r="CO62" i="1"/>
  <c r="CN62" i="1"/>
  <c r="CQ54" i="1"/>
  <c r="CR54" i="1"/>
  <c r="CO54" i="1"/>
  <c r="CN54" i="1"/>
  <c r="CQ46" i="1"/>
  <c r="CR46" i="1"/>
  <c r="CO46" i="1"/>
  <c r="CN46" i="1"/>
  <c r="CQ38" i="1"/>
  <c r="CR38" i="1"/>
  <c r="CO38" i="1"/>
  <c r="CN38" i="1"/>
  <c r="CS30" i="1"/>
  <c r="CM28" i="1"/>
  <c r="CS22" i="1"/>
  <c r="CM20" i="1"/>
  <c r="CQ10" i="1"/>
  <c r="CO10" i="1"/>
  <c r="CR10" i="1"/>
  <c r="CN10" i="1"/>
  <c r="CQ226" i="1"/>
  <c r="CR226" i="1"/>
  <c r="CN226" i="1"/>
  <c r="CO226" i="1"/>
  <c r="CM212" i="1"/>
  <c r="CS154" i="1"/>
  <c r="CR135" i="1"/>
  <c r="CQ135" i="1"/>
  <c r="CN135" i="1"/>
  <c r="CO135" i="1"/>
  <c r="CS95" i="1"/>
  <c r="CS71" i="1"/>
  <c r="CS63" i="1"/>
  <c r="CM9" i="1"/>
  <c r="CT250" i="1" l="1" a="1"/>
  <c r="CT250" i="1" s="1"/>
  <c r="CU172" i="1" a="1"/>
  <c r="CU172" i="1" s="1"/>
  <c r="CU242" i="1" a="1"/>
  <c r="CU242" i="1" s="1"/>
  <c r="CU211" i="1" a="1"/>
  <c r="CU211" i="1" s="1"/>
  <c r="CU127" i="1" a="1"/>
  <c r="CU127" i="1" s="1"/>
  <c r="CU140" i="1" a="1"/>
  <c r="CU140" i="1" s="1"/>
  <c r="CT171" i="1" a="1"/>
  <c r="CT171" i="1" s="1"/>
  <c r="CT251" i="1" a="1"/>
  <c r="CT251" i="1" s="1"/>
  <c r="CT266" i="1" a="1"/>
  <c r="CT266" i="1" s="1"/>
  <c r="CU75" i="1" a="1"/>
  <c r="CU75" i="1" s="1"/>
  <c r="CT194" i="1" a="1"/>
  <c r="CT194" i="1" s="1"/>
  <c r="CU165" i="1" a="1"/>
  <c r="CU165" i="1" s="1"/>
  <c r="CU257" i="1" a="1"/>
  <c r="CU257" i="1" s="1"/>
  <c r="CT182" i="1" a="1"/>
  <c r="CT182" i="1" s="1"/>
  <c r="CT23" i="1" a="1"/>
  <c r="CT23" i="1" s="1"/>
  <c r="CU269" i="1" a="1"/>
  <c r="CU269" i="1" s="1"/>
  <c r="CT26" i="1" a="1"/>
  <c r="CT26" i="1" s="1"/>
  <c r="CT158" i="1" a="1"/>
  <c r="CT158" i="1" s="1"/>
  <c r="CT124" i="1" a="1"/>
  <c r="CT124" i="1" s="1"/>
  <c r="CU8" i="1" a="1"/>
  <c r="CU8" i="1" s="1"/>
  <c r="CT40" i="1" a="1"/>
  <c r="CT40" i="1" s="1"/>
  <c r="CU167" i="1" a="1"/>
  <c r="CU167" i="1" s="1"/>
  <c r="CT231" i="1" a="1"/>
  <c r="CT231" i="1" s="1"/>
  <c r="CT263" i="1" a="1"/>
  <c r="CT263" i="1" s="1"/>
  <c r="CU139" i="1" a="1"/>
  <c r="CU139" i="1" s="1"/>
  <c r="CU193" i="1" a="1"/>
  <c r="CU193" i="1" s="1"/>
  <c r="CU209" i="1" a="1"/>
  <c r="CU209" i="1" s="1"/>
  <c r="CT29" i="1" a="1"/>
  <c r="CT29" i="1" s="1"/>
  <c r="CU48" i="1" a="1"/>
  <c r="CU48" i="1" s="1"/>
  <c r="CT128" i="1" a="1"/>
  <c r="CT128" i="1" s="1"/>
  <c r="CU226" i="1" a="1"/>
  <c r="CU226" i="1" s="1"/>
  <c r="CU7" i="1" a="1"/>
  <c r="CU7" i="1" s="1"/>
  <c r="CT63" i="1" a="1"/>
  <c r="CT63" i="1" s="1"/>
  <c r="CT70" i="1" a="1"/>
  <c r="CT70" i="1" s="1"/>
  <c r="CT49" i="1" a="1"/>
  <c r="CT49" i="1" s="1"/>
  <c r="CU101" i="1" a="1"/>
  <c r="CU101" i="1" s="1"/>
  <c r="CU52" i="1" a="1"/>
  <c r="CU52" i="1" s="1"/>
  <c r="CU134" i="1" a="1"/>
  <c r="CU134" i="1" s="1"/>
  <c r="CU162" i="1" a="1"/>
  <c r="CU162" i="1" s="1"/>
  <c r="CT47" i="1" a="1"/>
  <c r="CT47" i="1" s="1"/>
  <c r="CU197" i="1" a="1"/>
  <c r="CU197" i="1" s="1"/>
  <c r="CU90" i="1" a="1"/>
  <c r="CU90" i="1" s="1"/>
  <c r="CT95" i="1" a="1"/>
  <c r="CT95" i="1" s="1"/>
  <c r="CT198" i="1" a="1"/>
  <c r="CT198" i="1" s="1"/>
  <c r="CU206" i="1" a="1"/>
  <c r="CU206" i="1" s="1"/>
  <c r="CU33" i="1" a="1"/>
  <c r="CU33" i="1" s="1"/>
  <c r="CT77" i="1" a="1"/>
  <c r="CT77" i="1" s="1"/>
  <c r="CT85" i="1" a="1"/>
  <c r="CT85" i="1" s="1"/>
  <c r="CU252" i="1" a="1"/>
  <c r="CU252" i="1" s="1"/>
  <c r="CT90" i="1" a="1"/>
  <c r="CT90" i="1" s="1"/>
  <c r="CU13" i="1" a="1"/>
  <c r="CU13" i="1" s="1"/>
  <c r="CU56" i="1" a="1"/>
  <c r="CU56" i="1" s="1"/>
  <c r="CT104" i="1" a="1"/>
  <c r="CT104" i="1" s="1"/>
  <c r="CT136" i="1" a="1"/>
  <c r="CT136" i="1" s="1"/>
  <c r="CT183" i="1" a="1"/>
  <c r="CT183" i="1" s="1"/>
  <c r="CT199" i="1" a="1"/>
  <c r="CT199" i="1" s="1"/>
  <c r="CU34" i="1" a="1"/>
  <c r="CU34" i="1" s="1"/>
  <c r="CT50" i="1" a="1"/>
  <c r="CT50" i="1" s="1"/>
  <c r="CT156" i="1" a="1"/>
  <c r="CT156" i="1" s="1"/>
  <c r="CT64" i="1" a="1"/>
  <c r="CT64" i="1" s="1"/>
  <c r="CT175" i="1" a="1"/>
  <c r="CT175" i="1" s="1"/>
  <c r="CT239" i="1" a="1"/>
  <c r="CT239" i="1" s="1"/>
  <c r="CU79" i="1" a="1"/>
  <c r="CU79" i="1" s="1"/>
  <c r="CT127" i="1" a="1"/>
  <c r="CT127" i="1" s="1"/>
  <c r="CU171" i="1" a="1"/>
  <c r="CU171" i="1" s="1"/>
  <c r="CU82" i="1" a="1"/>
  <c r="CU82" i="1" s="1"/>
  <c r="CU150" i="1" a="1"/>
  <c r="CU150" i="1" s="1"/>
  <c r="CU174" i="1" a="1"/>
  <c r="CU174" i="1" s="1"/>
  <c r="CU25" i="1" a="1"/>
  <c r="CU25" i="1" s="1"/>
  <c r="CU70" i="1" a="1"/>
  <c r="CU70" i="1" s="1"/>
  <c r="CU81" i="1" a="1"/>
  <c r="CU81" i="1" s="1"/>
  <c r="CT172" i="1" a="1"/>
  <c r="CT172" i="1" s="1"/>
  <c r="CU66" i="1" a="1"/>
  <c r="CU66" i="1" s="1"/>
  <c r="CT73" i="1" a="1"/>
  <c r="CT73" i="1" s="1"/>
  <c r="CU204" i="1" a="1"/>
  <c r="CU204" i="1" s="1"/>
  <c r="CT144" i="1" a="1"/>
  <c r="CT144" i="1" s="1"/>
  <c r="CU250" i="1" a="1"/>
  <c r="CU250" i="1" s="1"/>
  <c r="CU18" i="1" a="1"/>
  <c r="CU18" i="1" s="1"/>
  <c r="CU202" i="1" a="1"/>
  <c r="CU202" i="1" s="1"/>
  <c r="CT84" i="1" a="1"/>
  <c r="CT84" i="1" s="1"/>
  <c r="CT135" i="1" a="1"/>
  <c r="CT135" i="1" s="1"/>
  <c r="CU39" i="1" a="1"/>
  <c r="CU39" i="1" s="1"/>
  <c r="CT107" i="1" a="1"/>
  <c r="CT107" i="1" s="1"/>
  <c r="CU14" i="1" a="1"/>
  <c r="CU14" i="1" s="1"/>
  <c r="CT208" i="1" a="1"/>
  <c r="CT208" i="1" s="1"/>
  <c r="CU220" i="1" a="1"/>
  <c r="CU220" i="1" s="1"/>
  <c r="CT255" i="1" a="1"/>
  <c r="CT255" i="1" s="1"/>
  <c r="CT160" i="1" a="1"/>
  <c r="CT160" i="1" s="1"/>
  <c r="CU24" i="1" a="1"/>
  <c r="CU24" i="1" s="1"/>
  <c r="CT72" i="1" a="1"/>
  <c r="CT72" i="1" s="1"/>
  <c r="CT247" i="1" a="1"/>
  <c r="CT247" i="1" s="1"/>
  <c r="CU259" i="1" a="1"/>
  <c r="CU259" i="1" s="1"/>
  <c r="CT11" i="1" a="1"/>
  <c r="CT11" i="1" s="1"/>
  <c r="CU190" i="1" a="1"/>
  <c r="CU190" i="1" s="1"/>
  <c r="CT210" i="1" a="1"/>
  <c r="CT210" i="1" s="1"/>
  <c r="CT258" i="1" a="1"/>
  <c r="CT258" i="1" s="1"/>
  <c r="CU83" i="1" a="1"/>
  <c r="CU83" i="1" s="1"/>
  <c r="CT113" i="1" a="1"/>
  <c r="CT113" i="1" s="1"/>
  <c r="CU156" i="1" a="1"/>
  <c r="CU156" i="1" s="1"/>
  <c r="CT256" i="1" a="1"/>
  <c r="CT256" i="1" s="1"/>
  <c r="CU80" i="1" a="1"/>
  <c r="CU80" i="1" s="1"/>
  <c r="CU175" i="1" a="1"/>
  <c r="CU175" i="1" s="1"/>
  <c r="CT35" i="1" a="1"/>
  <c r="CT35" i="1" s="1"/>
  <c r="CU91" i="1" a="1"/>
  <c r="CU91" i="1" s="1"/>
  <c r="CT22" i="1" a="1"/>
  <c r="CT22" i="1" s="1"/>
  <c r="CU114" i="1" a="1"/>
  <c r="CU114" i="1" s="1"/>
  <c r="CU68" i="1" a="1"/>
  <c r="CU68" i="1" s="1"/>
  <c r="CT161" i="1" a="1"/>
  <c r="CT161" i="1" s="1"/>
  <c r="CT16" i="1" a="1"/>
  <c r="CT16" i="1" s="1"/>
  <c r="CU271" i="1" a="1"/>
  <c r="CU271" i="1" s="1"/>
  <c r="CU71" i="1" a="1"/>
  <c r="CU71" i="1" s="1"/>
  <c r="CU10" i="1" a="1"/>
  <c r="CU10" i="1" s="1"/>
  <c r="CT38" i="1" a="1"/>
  <c r="CT38" i="1" s="1"/>
  <c r="CT46" i="1" a="1"/>
  <c r="CT46" i="1" s="1"/>
  <c r="CU54" i="1" a="1"/>
  <c r="CU54" i="1" s="1"/>
  <c r="CU62" i="1" a="1"/>
  <c r="CU62" i="1" s="1"/>
  <c r="CU184" i="1" a="1"/>
  <c r="CU184" i="1" s="1"/>
  <c r="CU78" i="1" a="1"/>
  <c r="CU78" i="1" s="1"/>
  <c r="CU98" i="1" a="1"/>
  <c r="CU98" i="1" s="1"/>
  <c r="CU106" i="1" a="1"/>
  <c r="CU106" i="1" s="1"/>
  <c r="CU89" i="1" a="1"/>
  <c r="CU89" i="1" s="1"/>
  <c r="CT122" i="1" a="1"/>
  <c r="CT122" i="1" s="1"/>
  <c r="CU130" i="1" a="1"/>
  <c r="CU130" i="1" s="1"/>
  <c r="CT138" i="1" a="1"/>
  <c r="CT138" i="1" s="1"/>
  <c r="CT165" i="1" a="1"/>
  <c r="CT165" i="1" s="1"/>
  <c r="CU173" i="1" a="1"/>
  <c r="CU173" i="1" s="1"/>
  <c r="CT181" i="1" a="1"/>
  <c r="CT181" i="1" s="1"/>
  <c r="CU189" i="1" a="1"/>
  <c r="CU189" i="1" s="1"/>
  <c r="CT197" i="1" a="1"/>
  <c r="CT197" i="1" s="1"/>
  <c r="CT205" i="1" a="1"/>
  <c r="CT205" i="1" s="1"/>
  <c r="CU225" i="1" a="1"/>
  <c r="CU225" i="1" s="1"/>
  <c r="CT233" i="1" a="1"/>
  <c r="CT233" i="1" s="1"/>
  <c r="CT241" i="1" a="1"/>
  <c r="CT241" i="1" s="1"/>
  <c r="CT249" i="1" a="1"/>
  <c r="CT249" i="1" s="1"/>
  <c r="CT264" i="1" a="1"/>
  <c r="CT264" i="1" s="1"/>
  <c r="CT39" i="1" a="1"/>
  <c r="CT39" i="1" s="1"/>
  <c r="CU51" i="1" a="1"/>
  <c r="CU51" i="1" s="1"/>
  <c r="CT99" i="1" a="1"/>
  <c r="CT99" i="1" s="1"/>
  <c r="CU107" i="1" a="1"/>
  <c r="CU107" i="1" s="1"/>
  <c r="CT147" i="1" a="1"/>
  <c r="CT147" i="1" s="1"/>
  <c r="CU43" i="1" a="1"/>
  <c r="CU43" i="1" s="1"/>
  <c r="CU59" i="1" a="1"/>
  <c r="CU59" i="1" s="1"/>
  <c r="CU170" i="1" a="1"/>
  <c r="CU170" i="1" s="1"/>
  <c r="CU129" i="1" a="1"/>
  <c r="CU129" i="1" s="1"/>
  <c r="CT67" i="1" a="1"/>
  <c r="CT67" i="1" s="1"/>
  <c r="CT152" i="1" a="1"/>
  <c r="CT152" i="1" s="1"/>
  <c r="CU151" i="1" a="1"/>
  <c r="CU151" i="1" s="1"/>
  <c r="CU102" i="1" a="1"/>
  <c r="CU102" i="1" s="1"/>
  <c r="CU118" i="1" a="1"/>
  <c r="CU118" i="1" s="1"/>
  <c r="CT146" i="1" a="1"/>
  <c r="CT146" i="1" s="1"/>
  <c r="CU210" i="1" a="1"/>
  <c r="CU210" i="1" s="1"/>
  <c r="CU258" i="1" a="1"/>
  <c r="CU258" i="1" s="1"/>
  <c r="CU17" i="1" a="1"/>
  <c r="CU17" i="1" s="1"/>
  <c r="CT55" i="1" a="1"/>
  <c r="CT55" i="1" s="1"/>
  <c r="CT262" i="1" a="1"/>
  <c r="CT262" i="1" s="1"/>
  <c r="CU239" i="1" a="1"/>
  <c r="CU239" i="1" s="1"/>
  <c r="CT261" i="1" a="1"/>
  <c r="CT261" i="1" s="1"/>
  <c r="CU267" i="1" a="1"/>
  <c r="CU267" i="1" s="1"/>
  <c r="CU236" i="1" a="1"/>
  <c r="CU236" i="1" s="1"/>
  <c r="CT150" i="1" a="1"/>
  <c r="CT150" i="1" s="1"/>
  <c r="CT177" i="1" a="1"/>
  <c r="CT177" i="1" s="1"/>
  <c r="CT114" i="1" a="1"/>
  <c r="CT114" i="1" s="1"/>
  <c r="CT217" i="1" a="1"/>
  <c r="CT217" i="1" s="1"/>
  <c r="CU99" i="1" a="1"/>
  <c r="CU99" i="1" s="1"/>
  <c r="CT119" i="1" a="1"/>
  <c r="CT119" i="1" s="1"/>
  <c r="CT234" i="1" a="1"/>
  <c r="CT234" i="1" s="1"/>
  <c r="CT25" i="1" a="1"/>
  <c r="CT25" i="1" s="1"/>
  <c r="CT200" i="1" a="1"/>
  <c r="CT200" i="1" s="1"/>
  <c r="CT43" i="1" a="1"/>
  <c r="CT43" i="1" s="1"/>
  <c r="CT83" i="1" a="1"/>
  <c r="CT83" i="1" s="1"/>
  <c r="CU131" i="1" a="1"/>
  <c r="CU131" i="1" s="1"/>
  <c r="CU194" i="1" a="1"/>
  <c r="CU194" i="1" s="1"/>
  <c r="CT242" i="1" a="1"/>
  <c r="CT242" i="1" s="1"/>
  <c r="CT81" i="1" a="1"/>
  <c r="CT81" i="1" s="1"/>
  <c r="CU36" i="1" a="1"/>
  <c r="CU36" i="1" s="1"/>
  <c r="CT68" i="1" a="1"/>
  <c r="CT68" i="1" s="1"/>
  <c r="CU65" i="1" a="1"/>
  <c r="CU65" i="1" s="1"/>
  <c r="CT195" i="1" a="1"/>
  <c r="CT195" i="1" s="1"/>
  <c r="CT211" i="1" a="1"/>
  <c r="CT211" i="1" s="1"/>
  <c r="CU229" i="1" a="1"/>
  <c r="CU229" i="1" s="1"/>
  <c r="CU245" i="1" a="1"/>
  <c r="CU245" i="1" s="1"/>
  <c r="CU261" i="1" a="1"/>
  <c r="CU261" i="1" s="1"/>
  <c r="CT168" i="1" a="1"/>
  <c r="CT168" i="1" s="1"/>
  <c r="CT162" i="1" a="1"/>
  <c r="CT162" i="1" s="1"/>
  <c r="CU19" i="1" a="1"/>
  <c r="CU19" i="1" s="1"/>
  <c r="CT271" i="1" a="1"/>
  <c r="CT271" i="1" s="1"/>
  <c r="CT186" i="1" a="1"/>
  <c r="CT186" i="1" s="1"/>
  <c r="CU186" i="1" a="1"/>
  <c r="CU186" i="1" s="1"/>
  <c r="CU205" i="1" a="1"/>
  <c r="CU205" i="1" s="1"/>
  <c r="CT237" i="1" a="1"/>
  <c r="CT237" i="1" s="1"/>
  <c r="CU237" i="1" a="1"/>
  <c r="CU237" i="1" s="1"/>
  <c r="CT14" i="1" a="1"/>
  <c r="CT14" i="1" s="1"/>
  <c r="CT54" i="1" a="1"/>
  <c r="CT54" i="1" s="1"/>
  <c r="CT203" i="1" a="1"/>
  <c r="CT203" i="1" s="1"/>
  <c r="CU203" i="1" a="1"/>
  <c r="CU203" i="1" s="1"/>
  <c r="CT106" i="1" a="1"/>
  <c r="CT106" i="1" s="1"/>
  <c r="CU217" i="1" a="1"/>
  <c r="CU217" i="1" s="1"/>
  <c r="CU84" i="1" a="1"/>
  <c r="CU84" i="1" s="1"/>
  <c r="CU22" i="1" a="1"/>
  <c r="CU22" i="1" s="1"/>
  <c r="CU38" i="1" a="1"/>
  <c r="CU38" i="1" s="1"/>
  <c r="CU128" i="1" a="1"/>
  <c r="CU128" i="1" s="1"/>
  <c r="CT202" i="1" a="1"/>
  <c r="CT202" i="1" s="1"/>
  <c r="CU73" i="1" a="1"/>
  <c r="CU73" i="1" s="1"/>
  <c r="CT170" i="1" a="1"/>
  <c r="CT170" i="1" s="1"/>
  <c r="CU67" i="1" a="1"/>
  <c r="CU67" i="1" s="1"/>
  <c r="CU179" i="1" a="1"/>
  <c r="CU179" i="1" s="1"/>
  <c r="CT204" i="1" a="1"/>
  <c r="CT204" i="1" s="1"/>
  <c r="CU198" i="1" a="1"/>
  <c r="CU198" i="1" s="1"/>
  <c r="CU168" i="1" a="1"/>
  <c r="CU168" i="1" s="1"/>
  <c r="CT79" i="1" a="1"/>
  <c r="CT79" i="1" s="1"/>
  <c r="CT34" i="1" a="1"/>
  <c r="CT34" i="1" s="1"/>
  <c r="CT82" i="1" a="1"/>
  <c r="CT82" i="1" s="1"/>
  <c r="CT89" i="1" a="1"/>
  <c r="CT89" i="1" s="1"/>
  <c r="CU64" i="1" a="1"/>
  <c r="CU64" i="1" s="1"/>
  <c r="CU199" i="1" a="1"/>
  <c r="CU199" i="1" s="1"/>
  <c r="CT91" i="1" a="1"/>
  <c r="CT91" i="1" s="1"/>
  <c r="CU266" i="1" a="1"/>
  <c r="CU266" i="1" s="1"/>
  <c r="CT48" i="1" a="1"/>
  <c r="CT48" i="1" s="1"/>
  <c r="CU40" i="1" a="1"/>
  <c r="CU40" i="1" s="1"/>
  <c r="CU26" i="1" a="1"/>
  <c r="CU26" i="1" s="1"/>
  <c r="CU256" i="1" a="1"/>
  <c r="CU256" i="1" s="1"/>
  <c r="CU20" i="1" a="1"/>
  <c r="CU20" i="1" s="1"/>
  <c r="CT20" i="1" a="1"/>
  <c r="CT20" i="1" s="1"/>
  <c r="CU196" i="1" a="1"/>
  <c r="CU196" i="1" s="1"/>
  <c r="CT196" i="1" a="1"/>
  <c r="CT196" i="1" s="1"/>
  <c r="CT178" i="1" a="1"/>
  <c r="CT178" i="1" s="1"/>
  <c r="CU178" i="1" a="1"/>
  <c r="CU178" i="1" s="1"/>
  <c r="CU192" i="1" a="1"/>
  <c r="CU192" i="1" s="1"/>
  <c r="CT192" i="1" a="1"/>
  <c r="CT192" i="1" s="1"/>
  <c r="CT78" i="1" a="1"/>
  <c r="CT78" i="1" s="1"/>
  <c r="CT142" i="1" a="1"/>
  <c r="CT142" i="1" s="1"/>
  <c r="CU142" i="1" a="1"/>
  <c r="CU142" i="1" s="1"/>
  <c r="CT268" i="1" a="1"/>
  <c r="CT268" i="1" s="1"/>
  <c r="CU268" i="1" a="1"/>
  <c r="CU268" i="1" s="1"/>
  <c r="CT51" i="1" a="1"/>
  <c r="CT51" i="1" s="1"/>
  <c r="CU11" i="1" a="1"/>
  <c r="CU11" i="1" s="1"/>
  <c r="CU181" i="1" a="1"/>
  <c r="CU181" i="1" s="1"/>
  <c r="CT53" i="1" a="1"/>
  <c r="CT53" i="1" s="1"/>
  <c r="CU53" i="1" a="1"/>
  <c r="CU53" i="1" s="1"/>
  <c r="CT71" i="1" a="1"/>
  <c r="CT71" i="1" s="1"/>
  <c r="CU123" i="1" a="1"/>
  <c r="CU123" i="1" s="1"/>
  <c r="CT123" i="1" a="1"/>
  <c r="CT123" i="1" s="1"/>
  <c r="CU182" i="1" a="1"/>
  <c r="CU182" i="1" s="1"/>
  <c r="CU255" i="1" a="1"/>
  <c r="CU255" i="1" s="1"/>
  <c r="CU46" i="1" a="1"/>
  <c r="CU46" i="1" s="1"/>
  <c r="CT62" i="1" a="1"/>
  <c r="CT62" i="1" s="1"/>
  <c r="CT173" i="1" a="1"/>
  <c r="CT173" i="1" s="1"/>
  <c r="CT189" i="1" a="1"/>
  <c r="CT189" i="1" s="1"/>
  <c r="CU249" i="1" a="1"/>
  <c r="CU249" i="1" s="1"/>
  <c r="CT32" i="1" a="1"/>
  <c r="CT32" i="1" s="1"/>
  <c r="CU32" i="1" a="1"/>
  <c r="CU32" i="1" s="1"/>
  <c r="CU152" i="1" a="1"/>
  <c r="CU152" i="1" s="1"/>
  <c r="CU69" i="1" a="1"/>
  <c r="CU69" i="1" s="1"/>
  <c r="CT69" i="1" a="1"/>
  <c r="CT69" i="1" s="1"/>
  <c r="CT155" i="1" a="1"/>
  <c r="CT155" i="1" s="1"/>
  <c r="CU155" i="1" a="1"/>
  <c r="CU155" i="1" s="1"/>
  <c r="CT139" i="1" a="1"/>
  <c r="CT139" i="1" s="1"/>
  <c r="CT17" i="1" a="1"/>
  <c r="CT17" i="1" s="1"/>
  <c r="CU97" i="1" a="1"/>
  <c r="CU97" i="1" s="1"/>
  <c r="CT97" i="1" a="1"/>
  <c r="CT97" i="1" s="1"/>
  <c r="CT176" i="1" a="1"/>
  <c r="CT176" i="1" s="1"/>
  <c r="CU176" i="1" a="1"/>
  <c r="CU176" i="1" s="1"/>
  <c r="CT118" i="1" a="1"/>
  <c r="CT118" i="1" s="1"/>
  <c r="CT245" i="1" a="1"/>
  <c r="CT245" i="1" s="1"/>
  <c r="CU136" i="1" a="1"/>
  <c r="CU136" i="1" s="1"/>
  <c r="CU263" i="1" a="1"/>
  <c r="CU263" i="1" s="1"/>
  <c r="CT75" i="1" a="1"/>
  <c r="CT75" i="1" s="1"/>
  <c r="CT41" i="1" a="1"/>
  <c r="CT41" i="1" s="1"/>
  <c r="CU47" i="1" a="1"/>
  <c r="CU47" i="1" s="1"/>
  <c r="CU146" i="1" a="1"/>
  <c r="CU146" i="1" s="1"/>
  <c r="CU241" i="1" a="1"/>
  <c r="CU241" i="1" s="1"/>
  <c r="CT12" i="1" a="1"/>
  <c r="CT12" i="1" s="1"/>
  <c r="CU12" i="1" a="1"/>
  <c r="CU12" i="1" s="1"/>
  <c r="CT116" i="1" a="1"/>
  <c r="CT116" i="1" s="1"/>
  <c r="CU116" i="1" a="1"/>
  <c r="CU116" i="1" s="1"/>
  <c r="CT235" i="1" a="1"/>
  <c r="CT235" i="1" s="1"/>
  <c r="CU235" i="1" a="1"/>
  <c r="CU235" i="1" s="1"/>
  <c r="CU45" i="1" a="1"/>
  <c r="CU45" i="1" s="1"/>
  <c r="CT45" i="1" a="1"/>
  <c r="CT45" i="1" s="1"/>
  <c r="CT103" i="1" a="1"/>
  <c r="CT103" i="1" s="1"/>
  <c r="CU103" i="1" a="1"/>
  <c r="CU103" i="1" s="1"/>
  <c r="CU238" i="1" a="1"/>
  <c r="CU238" i="1" s="1"/>
  <c r="CT238" i="1" a="1"/>
  <c r="CT238" i="1" s="1"/>
  <c r="CU191" i="1" a="1"/>
  <c r="CU191" i="1" s="1"/>
  <c r="CT191" i="1" a="1"/>
  <c r="CT191" i="1" s="1"/>
  <c r="CU95" i="1" a="1"/>
  <c r="CU95" i="1" s="1"/>
  <c r="CU135" i="1" a="1"/>
  <c r="CU135" i="1" s="1"/>
  <c r="CU234" i="1" a="1"/>
  <c r="CU234" i="1" s="1"/>
  <c r="CT163" i="1" a="1"/>
  <c r="CT163" i="1" s="1"/>
  <c r="CU138" i="1" a="1"/>
  <c r="CU138" i="1" s="1"/>
  <c r="CT169" i="1" a="1"/>
  <c r="CT169" i="1" s="1"/>
  <c r="CU169" i="1" a="1"/>
  <c r="CU169" i="1" s="1"/>
  <c r="CU201" i="1" a="1"/>
  <c r="CU201" i="1" s="1"/>
  <c r="CT201" i="1" a="1"/>
  <c r="CT201" i="1" s="1"/>
  <c r="CU264" i="1" a="1"/>
  <c r="CU264" i="1" s="1"/>
  <c r="CU37" i="1" a="1"/>
  <c r="CU37" i="1" s="1"/>
  <c r="CT37" i="1" a="1"/>
  <c r="CT37" i="1" s="1"/>
  <c r="CT206" i="1" a="1"/>
  <c r="CT206" i="1" s="1"/>
  <c r="CU109" i="1" a="1"/>
  <c r="CU109" i="1" s="1"/>
  <c r="CT109" i="1" a="1"/>
  <c r="CT109" i="1" s="1"/>
  <c r="CT60" i="1" a="1"/>
  <c r="CT60" i="1" s="1"/>
  <c r="CU60" i="1" a="1"/>
  <c r="CU60" i="1" s="1"/>
  <c r="CU195" i="1" a="1"/>
  <c r="CU195" i="1" s="1"/>
  <c r="CT66" i="1" a="1"/>
  <c r="CT66" i="1" s="1"/>
  <c r="CT102" i="1" a="1"/>
  <c r="CT102" i="1" s="1"/>
  <c r="CT179" i="1" a="1"/>
  <c r="CT179" i="1" s="1"/>
  <c r="CU148" i="1" a="1"/>
  <c r="CU148" i="1" s="1"/>
  <c r="CT148" i="1" a="1"/>
  <c r="CT148" i="1" s="1"/>
  <c r="CU260" i="1" a="1"/>
  <c r="CU260" i="1" s="1"/>
  <c r="CT260" i="1" a="1"/>
  <c r="CT260" i="1" s="1"/>
  <c r="CT110" i="1" a="1"/>
  <c r="CT110" i="1" s="1"/>
  <c r="CU110" i="1" a="1"/>
  <c r="CU110" i="1" s="1"/>
  <c r="CU124" i="1" a="1"/>
  <c r="CU124" i="1" s="1"/>
  <c r="CT8" i="1" a="1"/>
  <c r="CT8" i="1" s="1"/>
  <c r="CU188" i="1" a="1"/>
  <c r="CU188" i="1" s="1"/>
  <c r="CT188" i="1" a="1"/>
  <c r="CT188" i="1" s="1"/>
  <c r="CU163" i="1" a="1"/>
  <c r="CU163" i="1" s="1"/>
  <c r="CT248" i="1" a="1"/>
  <c r="CT248" i="1" s="1"/>
  <c r="CU248" i="1" a="1"/>
  <c r="CU248" i="1" s="1"/>
  <c r="CU208" i="1" a="1"/>
  <c r="CU208" i="1" s="1"/>
  <c r="CU158" i="1" a="1"/>
  <c r="CU158" i="1" s="1"/>
  <c r="CT134" i="1" a="1"/>
  <c r="CT134" i="1" s="1"/>
  <c r="CT52" i="1" a="1"/>
  <c r="CT52" i="1" s="1"/>
  <c r="CT220" i="1" a="1"/>
  <c r="CT220" i="1" s="1"/>
  <c r="CT224" i="1" a="1"/>
  <c r="CT224" i="1" s="1"/>
  <c r="CU224" i="1" a="1"/>
  <c r="CU224" i="1" s="1"/>
  <c r="CU28" i="1" a="1"/>
  <c r="CU28" i="1" s="1"/>
  <c r="CT28" i="1" a="1"/>
  <c r="CT28" i="1" s="1"/>
  <c r="CU164" i="1" a="1"/>
  <c r="CU164" i="1" s="1"/>
  <c r="CT164" i="1" a="1"/>
  <c r="CT164" i="1" s="1"/>
  <c r="CT232" i="1" a="1"/>
  <c r="CT232" i="1" s="1"/>
  <c r="CU232" i="1" a="1"/>
  <c r="CU232" i="1" s="1"/>
  <c r="CU111" i="1" a="1"/>
  <c r="CU111" i="1" s="1"/>
  <c r="CT111" i="1" a="1"/>
  <c r="CT111" i="1" s="1"/>
  <c r="CT154" i="1" a="1"/>
  <c r="CT154" i="1" s="1"/>
  <c r="CU154" i="1" a="1"/>
  <c r="CU154" i="1" s="1"/>
  <c r="CT33" i="1" a="1"/>
  <c r="CT33" i="1" s="1"/>
  <c r="CU228" i="1" a="1"/>
  <c r="CU228" i="1" s="1"/>
  <c r="CT228" i="1" a="1"/>
  <c r="CT228" i="1" s="1"/>
  <c r="CU27" i="1" a="1"/>
  <c r="CU27" i="1" s="1"/>
  <c r="CT27" i="1" a="1"/>
  <c r="CT27" i="1" s="1"/>
  <c r="CT59" i="1" a="1"/>
  <c r="CT59" i="1" s="1"/>
  <c r="CT143" i="1" a="1"/>
  <c r="CT143" i="1" s="1"/>
  <c r="CU143" i="1" a="1"/>
  <c r="CU143" i="1" s="1"/>
  <c r="CU254" i="1" a="1"/>
  <c r="CU254" i="1" s="1"/>
  <c r="CT254" i="1" a="1"/>
  <c r="CT254" i="1" s="1"/>
  <c r="CU30" i="1" a="1"/>
  <c r="CU30" i="1" s="1"/>
  <c r="CT94" i="1" a="1"/>
  <c r="CT94" i="1" s="1"/>
  <c r="CU94" i="1" a="1"/>
  <c r="CU94" i="1" s="1"/>
  <c r="CT126" i="1" a="1"/>
  <c r="CT126" i="1" s="1"/>
  <c r="CU126" i="1" a="1"/>
  <c r="CU126" i="1" s="1"/>
  <c r="CT157" i="1" a="1"/>
  <c r="CT157" i="1" s="1"/>
  <c r="CT221" i="1" a="1"/>
  <c r="CT221" i="1" s="1"/>
  <c r="CU221" i="1" a="1"/>
  <c r="CU221" i="1" s="1"/>
  <c r="CU253" i="1" a="1"/>
  <c r="CU253" i="1" s="1"/>
  <c r="CT253" i="1" a="1"/>
  <c r="CT253" i="1" s="1"/>
  <c r="CT24" i="1" a="1"/>
  <c r="CT24" i="1" s="1"/>
  <c r="CU180" i="1" a="1"/>
  <c r="CU180" i="1" s="1"/>
  <c r="CT180" i="1" a="1"/>
  <c r="CT180" i="1" s="1"/>
  <c r="CU31" i="1" a="1"/>
  <c r="CU31" i="1" s="1"/>
  <c r="CU230" i="1" a="1"/>
  <c r="CU230" i="1" s="1"/>
  <c r="CT230" i="1" a="1"/>
  <c r="CT230" i="1" s="1"/>
  <c r="CT216" i="1" a="1"/>
  <c r="CT216" i="1" s="1"/>
  <c r="CU216" i="1" a="1"/>
  <c r="CU216" i="1" s="1"/>
  <c r="CT87" i="1" a="1"/>
  <c r="CT87" i="1" s="1"/>
  <c r="CU87" i="1" a="1"/>
  <c r="CU87" i="1" s="1"/>
  <c r="CT229" i="1" a="1"/>
  <c r="CT229" i="1" s="1"/>
  <c r="CU113" i="1" a="1"/>
  <c r="CU113" i="1" s="1"/>
  <c r="CT36" i="1" a="1"/>
  <c r="CT36" i="1" s="1"/>
  <c r="CU23" i="1" a="1"/>
  <c r="CU23" i="1" s="1"/>
  <c r="CU55" i="1" a="1"/>
  <c r="CU55" i="1" s="1"/>
  <c r="CT131" i="1" a="1"/>
  <c r="CT131" i="1" s="1"/>
  <c r="CT19" i="1" a="1"/>
  <c r="CT19" i="1" s="1"/>
  <c r="CT129" i="1" a="1"/>
  <c r="CT129" i="1" s="1"/>
  <c r="CT151" i="1" a="1"/>
  <c r="CT151" i="1" s="1"/>
  <c r="CT130" i="1" a="1"/>
  <c r="CT130" i="1" s="1"/>
  <c r="CU177" i="1" a="1"/>
  <c r="CU177" i="1" s="1"/>
  <c r="CT257" i="1" a="1"/>
  <c r="CT257" i="1" s="1"/>
  <c r="CU100" i="1" a="1"/>
  <c r="CU100" i="1" s="1"/>
  <c r="CT100" i="1" a="1"/>
  <c r="CT100" i="1" s="1"/>
  <c r="CT153" i="1" a="1"/>
  <c r="CT153" i="1" s="1"/>
  <c r="CU153" i="1" a="1"/>
  <c r="CU153" i="1" s="1"/>
  <c r="CU207" i="1" a="1"/>
  <c r="CU207" i="1" s="1"/>
  <c r="CT207" i="1" a="1"/>
  <c r="CT207" i="1" s="1"/>
  <c r="CT243" i="1" a="1"/>
  <c r="CT243" i="1" s="1"/>
  <c r="CU243" i="1" a="1"/>
  <c r="CU243" i="1" s="1"/>
  <c r="CU57" i="1" a="1"/>
  <c r="CU57" i="1" s="1"/>
  <c r="CT57" i="1" a="1"/>
  <c r="CT57" i="1" s="1"/>
  <c r="CU244" i="1" a="1"/>
  <c r="CU244" i="1" s="1"/>
  <c r="CT244" i="1" a="1"/>
  <c r="CT244" i="1" s="1"/>
  <c r="CU147" i="1" a="1"/>
  <c r="CU147" i="1" s="1"/>
  <c r="CT214" i="1" a="1"/>
  <c r="CT214" i="1" s="1"/>
  <c r="CU214" i="1" a="1"/>
  <c r="CU214" i="1" s="1"/>
  <c r="CT141" i="1" a="1"/>
  <c r="CT141" i="1" s="1"/>
  <c r="CU141" i="1" a="1"/>
  <c r="CU141" i="1" s="1"/>
  <c r="CT252" i="1" a="1"/>
  <c r="CT252" i="1" s="1"/>
  <c r="CU63" i="1" a="1"/>
  <c r="CU63" i="1" s="1"/>
  <c r="CT10" i="1" a="1"/>
  <c r="CT10" i="1" s="1"/>
  <c r="CT42" i="1" a="1"/>
  <c r="CT42" i="1" s="1"/>
  <c r="CU42" i="1" a="1"/>
  <c r="CU42" i="1" s="1"/>
  <c r="CT74" i="1" a="1"/>
  <c r="CT74" i="1" s="1"/>
  <c r="CU74" i="1" a="1"/>
  <c r="CU74" i="1" s="1"/>
  <c r="CU122" i="1" a="1"/>
  <c r="CU122" i="1" s="1"/>
  <c r="CU233" i="1" a="1"/>
  <c r="CU233" i="1" s="1"/>
  <c r="CT159" i="1" a="1"/>
  <c r="CT159" i="1" s="1"/>
  <c r="CU159" i="1" a="1"/>
  <c r="CU159" i="1" s="1"/>
  <c r="CT125" i="1" a="1"/>
  <c r="CT125" i="1" s="1"/>
  <c r="CU125" i="1" a="1"/>
  <c r="CU125" i="1" s="1"/>
  <c r="CT184" i="1" a="1"/>
  <c r="CT184" i="1" s="1"/>
  <c r="CU44" i="1" a="1"/>
  <c r="CU44" i="1" s="1"/>
  <c r="CT44" i="1" a="1"/>
  <c r="CT44" i="1" s="1"/>
  <c r="CT112" i="1" a="1"/>
  <c r="CT112" i="1" s="1"/>
  <c r="CT65" i="1" a="1"/>
  <c r="CT65" i="1" s="1"/>
  <c r="CU247" i="1" a="1"/>
  <c r="CU247" i="1" s="1"/>
  <c r="CT269" i="1" a="1"/>
  <c r="CT269" i="1" s="1"/>
  <c r="CU160" i="1" a="1"/>
  <c r="CU160" i="1" s="1"/>
  <c r="CU119" i="1" a="1"/>
  <c r="CU119" i="1" s="1"/>
  <c r="CU200" i="1" a="1"/>
  <c r="CU200" i="1" s="1"/>
  <c r="CU262" i="1" a="1"/>
  <c r="CU262" i="1" s="1"/>
  <c r="CT193" i="1" a="1"/>
  <c r="CT193" i="1" s="1"/>
  <c r="CU213" i="1" a="1"/>
  <c r="CU213" i="1" s="1"/>
  <c r="CT213" i="1" a="1"/>
  <c r="CT213" i="1" s="1"/>
  <c r="CU104" i="1" a="1"/>
  <c r="CU104" i="1" s="1"/>
  <c r="CU144" i="1" a="1"/>
  <c r="CU144" i="1" s="1"/>
  <c r="CU231" i="1" a="1"/>
  <c r="CU231" i="1" s="1"/>
  <c r="CU29" i="1" a="1"/>
  <c r="CU29" i="1" s="1"/>
  <c r="CT174" i="1" a="1"/>
  <c r="CT174" i="1" s="1"/>
  <c r="CT101" i="1" a="1"/>
  <c r="CT101" i="1" s="1"/>
  <c r="CT209" i="1" a="1"/>
  <c r="CT209" i="1" s="1"/>
  <c r="CT190" i="1" a="1"/>
  <c r="CT190" i="1" s="1"/>
  <c r="CT18" i="1" a="1"/>
  <c r="CT18" i="1" s="1"/>
  <c r="CU50" i="1" a="1"/>
  <c r="CU50" i="1" s="1"/>
  <c r="CT98" i="1" a="1"/>
  <c r="CT98" i="1" s="1"/>
  <c r="CU161" i="1" a="1"/>
  <c r="CU161" i="1" s="1"/>
  <c r="CT225" i="1" a="1"/>
  <c r="CT225" i="1" s="1"/>
  <c r="CT13" i="1" a="1"/>
  <c r="CT13" i="1" s="1"/>
  <c r="CT140" i="1" a="1"/>
  <c r="CT140" i="1" s="1"/>
  <c r="CT167" i="1" a="1"/>
  <c r="CT167" i="1" s="1"/>
  <c r="CT259" i="1" a="1"/>
  <c r="CT259" i="1" s="1"/>
  <c r="CT56" i="1" a="1"/>
  <c r="CT56" i="1" s="1"/>
  <c r="CU85" i="1" a="1"/>
  <c r="CU85" i="1" s="1"/>
  <c r="CU35" i="1" a="1"/>
  <c r="CU35" i="1" s="1"/>
  <c r="CU183" i="1" a="1"/>
  <c r="CU183" i="1" s="1"/>
  <c r="CT267" i="1" a="1"/>
  <c r="CT267" i="1" s="1"/>
  <c r="CU72" i="1" a="1"/>
  <c r="CU72" i="1" s="1"/>
  <c r="CU251" i="1" a="1"/>
  <c r="CU251" i="1" s="1"/>
  <c r="CT236" i="1" a="1"/>
  <c r="CT236" i="1" s="1"/>
  <c r="CT80" i="1" a="1"/>
  <c r="CT80" i="1" s="1"/>
  <c r="CT21" i="1" a="1"/>
  <c r="CT21" i="1" s="1"/>
  <c r="CU21" i="1" a="1"/>
  <c r="CU21" i="1" s="1"/>
  <c r="CU137" i="1" a="1"/>
  <c r="CU137" i="1" s="1"/>
  <c r="CT137" i="1" a="1"/>
  <c r="CT137" i="1" s="1"/>
  <c r="CT76" i="1" a="1"/>
  <c r="CT76" i="1" s="1"/>
  <c r="CU76" i="1" a="1"/>
  <c r="CU76" i="1" s="1"/>
  <c r="CU41" i="1" a="1"/>
  <c r="CU41" i="1" s="1"/>
  <c r="CT7" i="1" a="1"/>
  <c r="CT7" i="1" s="1"/>
  <c r="CT226" i="1" a="1"/>
  <c r="CT226" i="1" s="1"/>
  <c r="CU58" i="1" a="1"/>
  <c r="CU58" i="1" s="1"/>
  <c r="CT58" i="1" a="1"/>
  <c r="CT58" i="1" s="1"/>
  <c r="CU77" i="1" a="1"/>
  <c r="CU77" i="1" s="1"/>
  <c r="CU16" i="1" a="1"/>
  <c r="CU16" i="1" s="1"/>
  <c r="CU88" i="1" a="1"/>
  <c r="CU88" i="1" s="1"/>
  <c r="CT88" i="1" a="1"/>
  <c r="CT88" i="1" s="1"/>
  <c r="CT215" i="1" a="1"/>
  <c r="CT215" i="1" s="1"/>
  <c r="CU215" i="1" a="1"/>
  <c r="CU215" i="1" s="1"/>
  <c r="CU9" i="1" a="1"/>
  <c r="CU9" i="1" s="1"/>
  <c r="CT9" i="1" a="1"/>
  <c r="CT9" i="1" s="1"/>
  <c r="CU92" i="1" a="1"/>
  <c r="CU92" i="1" s="1"/>
  <c r="CT92" i="1" a="1"/>
  <c r="CT92" i="1" s="1"/>
  <c r="CT270" i="1" a="1"/>
  <c r="CT270" i="1" s="1"/>
  <c r="CU270" i="1" a="1"/>
  <c r="CU270" i="1" s="1"/>
  <c r="CU212" i="1" a="1"/>
  <c r="CU212" i="1" s="1"/>
  <c r="CT212" i="1" a="1"/>
  <c r="CT212" i="1" s="1"/>
  <c r="CT96" i="1" a="1"/>
  <c r="CT96" i="1" s="1"/>
  <c r="CU96" i="1" a="1"/>
  <c r="CU96" i="1" s="1"/>
  <c r="CU223" i="1" a="1"/>
  <c r="CU223" i="1" s="1"/>
  <c r="CT223" i="1" a="1"/>
  <c r="CT223" i="1" s="1"/>
  <c r="CT93" i="1" a="1"/>
  <c r="CT93" i="1" s="1"/>
  <c r="CU93" i="1" a="1"/>
  <c r="CU93" i="1" s="1"/>
  <c r="CT15" i="1" a="1"/>
  <c r="CT15" i="1" s="1"/>
  <c r="CU15" i="1" a="1"/>
  <c r="CU15" i="1" s="1"/>
  <c r="CU121" i="1" a="1"/>
  <c r="CU121" i="1" s="1"/>
  <c r="CT121" i="1" a="1"/>
  <c r="CT121" i="1" s="1"/>
  <c r="CU166" i="1" a="1"/>
  <c r="CU166" i="1" s="1"/>
  <c r="CT166" i="1" a="1"/>
  <c r="CT166" i="1" s="1"/>
  <c r="CT246" i="1" a="1"/>
  <c r="CT246" i="1" s="1"/>
  <c r="CU246" i="1" a="1"/>
  <c r="CU246" i="1" s="1"/>
  <c r="CU149" i="1" a="1"/>
  <c r="CU149" i="1" s="1"/>
  <c r="CT149" i="1" a="1"/>
  <c r="CT149" i="1" s="1"/>
  <c r="CT240" i="1" a="1"/>
  <c r="CT240" i="1" s="1"/>
  <c r="CU240" i="1" a="1"/>
  <c r="CU240" i="1" s="1"/>
  <c r="CU222" i="1" a="1"/>
  <c r="CU222" i="1" s="1"/>
  <c r="CT222" i="1" a="1"/>
  <c r="CT222" i="1" s="1"/>
  <c r="CT265" i="1" a="1"/>
  <c r="CT265" i="1" s="1"/>
  <c r="CU265" i="1" a="1"/>
  <c r="CU265" i="1" s="1"/>
  <c r="CT30" i="1" a="1"/>
  <c r="CT30" i="1" s="1"/>
  <c r="CU157" i="1" a="1"/>
  <c r="CU157" i="1" s="1"/>
  <c r="CU49" i="1" a="1"/>
  <c r="CU49" i="1" s="1"/>
  <c r="CT105" i="1" a="1"/>
  <c r="CT105" i="1" s="1"/>
  <c r="CU105" i="1" a="1"/>
  <c r="CU105" i="1" s="1"/>
  <c r="CT31" i="1" a="1"/>
  <c r="CT31" i="1" s="1"/>
  <c r="CT86" i="1" a="1"/>
  <c r="CT86" i="1" s="1"/>
  <c r="CU86" i="1" a="1"/>
  <c r="CU86" i="1" s="1"/>
  <c r="CU187" i="1" a="1"/>
  <c r="CU187" i="1" s="1"/>
  <c r="CT187" i="1" a="1"/>
  <c r="CT187" i="1" s="1"/>
  <c r="CT117" i="1" a="1"/>
  <c r="CT117" i="1" s="1"/>
  <c r="CU117" i="1" a="1"/>
  <c r="CU117" i="1" s="1"/>
  <c r="CU108" i="1" a="1"/>
  <c r="CU108" i="1" s="1"/>
  <c r="CT108" i="1" a="1"/>
  <c r="CT108" i="1" s="1"/>
  <c r="CU132" i="1" a="1"/>
  <c r="CU132" i="1" s="1"/>
  <c r="CT132" i="1" a="1"/>
  <c r="CT132" i="1" s="1"/>
  <c r="CU227" i="1" a="1"/>
  <c r="CU227" i="1" s="1"/>
  <c r="CT227" i="1" a="1"/>
  <c r="CT227" i="1" s="1"/>
  <c r="CT133" i="1" a="1"/>
  <c r="CT133" i="1" s="1"/>
  <c r="CU133" i="1" a="1"/>
  <c r="CU133" i="1" s="1"/>
  <c r="CT120" i="1" a="1"/>
  <c r="CT120" i="1" s="1"/>
  <c r="CU120" i="1" a="1"/>
  <c r="CU120" i="1" s="1"/>
  <c r="CT115" i="1" a="1"/>
  <c r="CT115" i="1" s="1"/>
  <c r="CU115" i="1" a="1"/>
  <c r="CU115" i="1" s="1"/>
  <c r="CT185" i="1" a="1"/>
  <c r="CT185" i="1" s="1"/>
  <c r="CU185" i="1" a="1"/>
  <c r="CU185" i="1" s="1"/>
  <c r="CT219" i="1" a="1"/>
  <c r="CT219" i="1" s="1"/>
  <c r="CU219" i="1" a="1"/>
  <c r="CU219" i="1" s="1"/>
  <c r="CU145" i="1" a="1"/>
  <c r="CU145" i="1" s="1"/>
  <c r="CT145" i="1" a="1"/>
  <c r="CT145" i="1" s="1"/>
  <c r="CT218" i="1" a="1"/>
  <c r="CT218" i="1" s="1"/>
  <c r="CU218" i="1" a="1"/>
  <c r="CU218" i="1" s="1"/>
  <c r="CT61" i="1" a="1"/>
  <c r="CT61" i="1" s="1"/>
  <c r="CU61" i="1" a="1"/>
  <c r="CU61" i="1" s="1"/>
  <c r="CU112" i="1" a="1"/>
  <c r="CU112" i="1" s="1"/>
  <c r="CV258" i="1" l="1"/>
  <c r="DJ258" i="1" s="1"/>
  <c r="CV113" i="1"/>
  <c r="DB113" i="1" s="1"/>
  <c r="CV216" i="1"/>
  <c r="CV13" i="1"/>
  <c r="CW13" i="1" s="1"/>
  <c r="CV101" i="1"/>
  <c r="CV127" i="1"/>
  <c r="CW127" i="1" s="1"/>
  <c r="CV210" i="1"/>
  <c r="DA210" i="1" s="1"/>
  <c r="CV95" i="1"/>
  <c r="DA95" i="1" s="1"/>
  <c r="CV124" i="1"/>
  <c r="CW124" i="1" s="1"/>
  <c r="CV209" i="1"/>
  <c r="CW209" i="1" s="1"/>
  <c r="CV79" i="1"/>
  <c r="DE79" i="1" s="1"/>
  <c r="CV250" i="1"/>
  <c r="DA250" i="1" s="1"/>
  <c r="CV112" i="1"/>
  <c r="DE112" i="1" s="1"/>
  <c r="CV267" i="1"/>
  <c r="CY267" i="1" s="1"/>
  <c r="CV242" i="1"/>
  <c r="CV252" i="1"/>
  <c r="CZ252" i="1" s="1"/>
  <c r="CV158" i="1"/>
  <c r="CV40" i="1"/>
  <c r="CV34" i="1"/>
  <c r="CV194" i="1"/>
  <c r="CV25" i="1"/>
  <c r="CV160" i="1"/>
  <c r="CV10" i="1"/>
  <c r="CV66" i="1"/>
  <c r="CX66" i="1" s="1"/>
  <c r="CV75" i="1"/>
  <c r="CV182" i="1"/>
  <c r="CV48" i="1"/>
  <c r="CV140" i="1"/>
  <c r="CZ140" i="1" s="1"/>
  <c r="CV129" i="1"/>
  <c r="CV206" i="1"/>
  <c r="CV139" i="1"/>
  <c r="CV175" i="1"/>
  <c r="CX175" i="1" s="1"/>
  <c r="CV161" i="1"/>
  <c r="CV104" i="1"/>
  <c r="CV63" i="1"/>
  <c r="CV52" i="1"/>
  <c r="CV197" i="1"/>
  <c r="CV138" i="1"/>
  <c r="CV135" i="1"/>
  <c r="CV172" i="1"/>
  <c r="CV171" i="1"/>
  <c r="CV226" i="1"/>
  <c r="CV183" i="1"/>
  <c r="CV190" i="1"/>
  <c r="CV249" i="1"/>
  <c r="CV173" i="1"/>
  <c r="CV255" i="1"/>
  <c r="CV202" i="1"/>
  <c r="CV162" i="1"/>
  <c r="CV150" i="1"/>
  <c r="CV165" i="1"/>
  <c r="CV251" i="1"/>
  <c r="CV231" i="1"/>
  <c r="CV204" i="1"/>
  <c r="CV211" i="1"/>
  <c r="CV49" i="1"/>
  <c r="CV77" i="1"/>
  <c r="CV72" i="1"/>
  <c r="CV269" i="1"/>
  <c r="CV177" i="1"/>
  <c r="CV55" i="1"/>
  <c r="CV81" i="1"/>
  <c r="CV107" i="1"/>
  <c r="CV156" i="1"/>
  <c r="CV236" i="1"/>
  <c r="CV225" i="1"/>
  <c r="CV29" i="1"/>
  <c r="CV151" i="1"/>
  <c r="CV264" i="1"/>
  <c r="CV263" i="1"/>
  <c r="CV71" i="1"/>
  <c r="CV181" i="1"/>
  <c r="CV26" i="1"/>
  <c r="CV14" i="1"/>
  <c r="CV7" i="1"/>
  <c r="CV35" i="1"/>
  <c r="CV257" i="1"/>
  <c r="CV195" i="1"/>
  <c r="CV199" i="1"/>
  <c r="CV198" i="1"/>
  <c r="CV85" i="1"/>
  <c r="CV98" i="1"/>
  <c r="CV144" i="1"/>
  <c r="CV234" i="1"/>
  <c r="CV64" i="1"/>
  <c r="CV170" i="1"/>
  <c r="CV68" i="1"/>
  <c r="CV56" i="1"/>
  <c r="CV174" i="1"/>
  <c r="CV262" i="1"/>
  <c r="CV247" i="1"/>
  <c r="CV130" i="1"/>
  <c r="CV228" i="1"/>
  <c r="CV8" i="1"/>
  <c r="CV47" i="1"/>
  <c r="CV266" i="1"/>
  <c r="CV84" i="1"/>
  <c r="CV54" i="1"/>
  <c r="CV261" i="1"/>
  <c r="CV51" i="1"/>
  <c r="CV83" i="1"/>
  <c r="CV100" i="1"/>
  <c r="CV221" i="1"/>
  <c r="CV254" i="1"/>
  <c r="CV232" i="1"/>
  <c r="CV200" i="1"/>
  <c r="CV184" i="1"/>
  <c r="CV89" i="1"/>
  <c r="CV38" i="1"/>
  <c r="CV167" i="1"/>
  <c r="CV24" i="1"/>
  <c r="CV220" i="1"/>
  <c r="CV118" i="1"/>
  <c r="CV57" i="1"/>
  <c r="CV16" i="1"/>
  <c r="CV193" i="1"/>
  <c r="CV11" i="1"/>
  <c r="CV22" i="1"/>
  <c r="CV239" i="1"/>
  <c r="CV39" i="1"/>
  <c r="CV132" i="1"/>
  <c r="CV207" i="1"/>
  <c r="CV215" i="1"/>
  <c r="CV80" i="1"/>
  <c r="CV42" i="1"/>
  <c r="CV23" i="1"/>
  <c r="CV229" i="1"/>
  <c r="CV94" i="1"/>
  <c r="CV134" i="1"/>
  <c r="CV241" i="1"/>
  <c r="CV17" i="1"/>
  <c r="CV67" i="1"/>
  <c r="CV128" i="1"/>
  <c r="CV99" i="1"/>
  <c r="CV187" i="1"/>
  <c r="CV222" i="1"/>
  <c r="CV119" i="1"/>
  <c r="CV122" i="1"/>
  <c r="CV19" i="1"/>
  <c r="CV110" i="1"/>
  <c r="CV245" i="1"/>
  <c r="CV46" i="1"/>
  <c r="CV205" i="1"/>
  <c r="CV271" i="1"/>
  <c r="CV114" i="1"/>
  <c r="CV152" i="1"/>
  <c r="CV78" i="1"/>
  <c r="CV227" i="1"/>
  <c r="CV65" i="1"/>
  <c r="CV59" i="1"/>
  <c r="CV146" i="1"/>
  <c r="CV97" i="1"/>
  <c r="CV62" i="1"/>
  <c r="CV91" i="1"/>
  <c r="CV70" i="1"/>
  <c r="CV90" i="1"/>
  <c r="CV61" i="1"/>
  <c r="CV145" i="1"/>
  <c r="CV185" i="1"/>
  <c r="CV133" i="1"/>
  <c r="CV265" i="1"/>
  <c r="CV240" i="1"/>
  <c r="CV121" i="1"/>
  <c r="CV212" i="1"/>
  <c r="CV9" i="1"/>
  <c r="CV88" i="1"/>
  <c r="CV125" i="1"/>
  <c r="CV233" i="1"/>
  <c r="CV214" i="1"/>
  <c r="CV147" i="1"/>
  <c r="CV244" i="1"/>
  <c r="CV243" i="1"/>
  <c r="CV131" i="1"/>
  <c r="CV230" i="1"/>
  <c r="CV253" i="1"/>
  <c r="CV143" i="1"/>
  <c r="CV27" i="1"/>
  <c r="CV28" i="1"/>
  <c r="CV148" i="1"/>
  <c r="CV37" i="1"/>
  <c r="CV191" i="1"/>
  <c r="CV238" i="1"/>
  <c r="CV45" i="1"/>
  <c r="CV176" i="1"/>
  <c r="CV32" i="1"/>
  <c r="CV189" i="1"/>
  <c r="CV123" i="1"/>
  <c r="CV142" i="1"/>
  <c r="CV196" i="1"/>
  <c r="CV256" i="1"/>
  <c r="CV115" i="1"/>
  <c r="CV120" i="1"/>
  <c r="CV157" i="1"/>
  <c r="CV93" i="1"/>
  <c r="CV50" i="1"/>
  <c r="CV36" i="1"/>
  <c r="CV33" i="1"/>
  <c r="CV208" i="1"/>
  <c r="CV163" i="1"/>
  <c r="CV60" i="1"/>
  <c r="CV235" i="1"/>
  <c r="CV136" i="1"/>
  <c r="CV82" i="1"/>
  <c r="CV73" i="1"/>
  <c r="CV217" i="1"/>
  <c r="CV186" i="1"/>
  <c r="CV259" i="1"/>
  <c r="CV18" i="1"/>
  <c r="CV102" i="1"/>
  <c r="CV53" i="1"/>
  <c r="CV168" i="1"/>
  <c r="CV106" i="1"/>
  <c r="CV43" i="1"/>
  <c r="CV108" i="1"/>
  <c r="CV117" i="1"/>
  <c r="CV15" i="1"/>
  <c r="CV58" i="1"/>
  <c r="CV44" i="1"/>
  <c r="CV153" i="1"/>
  <c r="CV31" i="1"/>
  <c r="CV111" i="1"/>
  <c r="CV164" i="1"/>
  <c r="CV188" i="1"/>
  <c r="CV201" i="1"/>
  <c r="CV86" i="1"/>
  <c r="CV105" i="1"/>
  <c r="CV149" i="1"/>
  <c r="CV246" i="1"/>
  <c r="CV166" i="1"/>
  <c r="CV223" i="1"/>
  <c r="CV96" i="1"/>
  <c r="CV270" i="1"/>
  <c r="CV92" i="1"/>
  <c r="CV137" i="1"/>
  <c r="CV213" i="1"/>
  <c r="CV159" i="1"/>
  <c r="CV87" i="1"/>
  <c r="CV180" i="1"/>
  <c r="CV30" i="1"/>
  <c r="CV154" i="1"/>
  <c r="CV224" i="1"/>
  <c r="CV248" i="1"/>
  <c r="CV260" i="1"/>
  <c r="CV109" i="1"/>
  <c r="CV169" i="1"/>
  <c r="CV103" i="1"/>
  <c r="CV12" i="1"/>
  <c r="CV69" i="1"/>
  <c r="CV192" i="1"/>
  <c r="CV179" i="1"/>
  <c r="CV218" i="1"/>
  <c r="CV219" i="1"/>
  <c r="CV41" i="1"/>
  <c r="CV76" i="1"/>
  <c r="CV21" i="1"/>
  <c r="CV74" i="1"/>
  <c r="CV141" i="1"/>
  <c r="CV126" i="1"/>
  <c r="CV116" i="1"/>
  <c r="CV155" i="1"/>
  <c r="CV268" i="1"/>
  <c r="CV178" i="1"/>
  <c r="CV20" i="1"/>
  <c r="CV203" i="1"/>
  <c r="CV237" i="1"/>
  <c r="CW258" i="1" l="1"/>
  <c r="CZ258" i="1"/>
  <c r="CY258" i="1"/>
  <c r="CX258" i="1"/>
  <c r="CX113" i="1"/>
  <c r="DH113" i="1"/>
  <c r="DG258" i="1"/>
  <c r="DB258" i="1"/>
  <c r="DF258" i="1"/>
  <c r="DD258" i="1"/>
  <c r="DI258" i="1"/>
  <c r="DA258" i="1"/>
  <c r="DC258" i="1"/>
  <c r="DH258" i="1"/>
  <c r="DE258" i="1"/>
  <c r="DF113" i="1"/>
  <c r="DG113" i="1"/>
  <c r="DI113" i="1"/>
  <c r="DA113" i="1"/>
  <c r="DJ113" i="1"/>
  <c r="DE113" i="1"/>
  <c r="CW113" i="1"/>
  <c r="CZ113" i="1"/>
  <c r="DC113" i="1"/>
  <c r="CY113" i="1"/>
  <c r="DD113" i="1"/>
  <c r="DG267" i="1"/>
  <c r="DA101" i="1"/>
  <c r="CY101" i="1"/>
  <c r="DC101" i="1"/>
  <c r="CZ101" i="1"/>
  <c r="DD101" i="1"/>
  <c r="DB101" i="1"/>
  <c r="CY186" i="1"/>
  <c r="DC186" i="1"/>
  <c r="DB186" i="1"/>
  <c r="CZ186" i="1"/>
  <c r="DD186" i="1"/>
  <c r="DA186" i="1"/>
  <c r="DB127" i="1"/>
  <c r="CZ127" i="1"/>
  <c r="DG127" i="1"/>
  <c r="DE127" i="1"/>
  <c r="DI127" i="1"/>
  <c r="DD127" i="1"/>
  <c r="DA127" i="1"/>
  <c r="CY127" i="1"/>
  <c r="DH127" i="1"/>
  <c r="DC127" i="1"/>
  <c r="DJ127" i="1"/>
  <c r="CX127" i="1"/>
  <c r="DF127" i="1"/>
  <c r="DH210" i="1"/>
  <c r="DB210" i="1"/>
  <c r="DJ210" i="1"/>
  <c r="DD210" i="1"/>
  <c r="CZ210" i="1"/>
  <c r="DF210" i="1"/>
  <c r="DC210" i="1"/>
  <c r="CW210" i="1"/>
  <c r="CY210" i="1"/>
  <c r="DG210" i="1"/>
  <c r="DE210" i="1"/>
  <c r="CX210" i="1"/>
  <c r="DI210" i="1"/>
  <c r="DG13" i="1"/>
  <c r="CY13" i="1"/>
  <c r="DC124" i="1"/>
  <c r="CX79" i="1"/>
  <c r="DD124" i="1"/>
  <c r="CX95" i="1"/>
  <c r="CX13" i="1"/>
  <c r="CY250" i="1"/>
  <c r="CZ13" i="1"/>
  <c r="DH95" i="1"/>
  <c r="CW250" i="1"/>
  <c r="CZ95" i="1"/>
  <c r="CX250" i="1"/>
  <c r="DD95" i="1"/>
  <c r="CY95" i="1"/>
  <c r="CZ250" i="1"/>
  <c r="DE95" i="1"/>
  <c r="DI250" i="1"/>
  <c r="DF13" i="1"/>
  <c r="DG79" i="1"/>
  <c r="DH250" i="1"/>
  <c r="DB13" i="1"/>
  <c r="DG95" i="1"/>
  <c r="DI13" i="1"/>
  <c r="DC95" i="1"/>
  <c r="DD13" i="1"/>
  <c r="DE13" i="1"/>
  <c r="DJ95" i="1"/>
  <c r="DJ13" i="1"/>
  <c r="DI95" i="1"/>
  <c r="DH13" i="1"/>
  <c r="DF95" i="1"/>
  <c r="DC13" i="1"/>
  <c r="DA13" i="1"/>
  <c r="CW95" i="1"/>
  <c r="DI124" i="1"/>
  <c r="CY124" i="1"/>
  <c r="DG124" i="1"/>
  <c r="DB95" i="1"/>
  <c r="DH209" i="1"/>
  <c r="DF209" i="1"/>
  <c r="CX209" i="1"/>
  <c r="CY112" i="1"/>
  <c r="CX124" i="1"/>
  <c r="CZ209" i="1"/>
  <c r="DG209" i="1"/>
  <c r="DH124" i="1"/>
  <c r="DB124" i="1"/>
  <c r="DE124" i="1"/>
  <c r="DD209" i="1"/>
  <c r="DE209" i="1"/>
  <c r="DJ124" i="1"/>
  <c r="DJ209" i="1"/>
  <c r="DB209" i="1"/>
  <c r="CZ124" i="1"/>
  <c r="CY209" i="1"/>
  <c r="DI209" i="1"/>
  <c r="DF124" i="1"/>
  <c r="DA124" i="1"/>
  <c r="DC209" i="1"/>
  <c r="DA209" i="1"/>
  <c r="DG250" i="1"/>
  <c r="DB250" i="1"/>
  <c r="DF250" i="1"/>
  <c r="CZ79" i="1"/>
  <c r="DH79" i="1"/>
  <c r="DJ79" i="1"/>
  <c r="CY79" i="1"/>
  <c r="CX267" i="1"/>
  <c r="DF79" i="1"/>
  <c r="DI79" i="1"/>
  <c r="DB79" i="1"/>
  <c r="DD79" i="1"/>
  <c r="DA79" i="1"/>
  <c r="CW79" i="1"/>
  <c r="DC250" i="1"/>
  <c r="DC79" i="1"/>
  <c r="DD250" i="1"/>
  <c r="DJ250" i="1"/>
  <c r="DE250" i="1"/>
  <c r="DG112" i="1"/>
  <c r="DB112" i="1"/>
  <c r="DJ112" i="1"/>
  <c r="CZ267" i="1"/>
  <c r="DD112" i="1"/>
  <c r="DA112" i="1"/>
  <c r="DC112" i="1"/>
  <c r="CW112" i="1"/>
  <c r="CX112" i="1"/>
  <c r="DH112" i="1"/>
  <c r="DF112" i="1"/>
  <c r="CZ112" i="1"/>
  <c r="DI112" i="1"/>
  <c r="CW116" i="1"/>
  <c r="DJ116" i="1"/>
  <c r="CW218" i="1"/>
  <c r="DJ218" i="1"/>
  <c r="CW260" i="1"/>
  <c r="DJ260" i="1"/>
  <c r="CW159" i="1"/>
  <c r="DJ159" i="1"/>
  <c r="CW201" i="1"/>
  <c r="DJ201" i="1"/>
  <c r="CW15" i="1"/>
  <c r="DJ15" i="1"/>
  <c r="CW217" i="1"/>
  <c r="DJ217" i="1"/>
  <c r="CW157" i="1"/>
  <c r="DJ157" i="1"/>
  <c r="CW191" i="1"/>
  <c r="DJ191" i="1"/>
  <c r="CW214" i="1"/>
  <c r="DJ214" i="1"/>
  <c r="CW61" i="1"/>
  <c r="DJ61" i="1"/>
  <c r="CW65" i="1"/>
  <c r="DJ65" i="1"/>
  <c r="CW245" i="1"/>
  <c r="DJ245" i="1"/>
  <c r="CW128" i="1"/>
  <c r="DJ128" i="1"/>
  <c r="CW207" i="1"/>
  <c r="DJ207" i="1"/>
  <c r="CW167" i="1"/>
  <c r="DJ167" i="1"/>
  <c r="CW54" i="1"/>
  <c r="DJ54" i="1"/>
  <c r="CW262" i="1"/>
  <c r="DJ262" i="1"/>
  <c r="CW7" i="1"/>
  <c r="DJ7" i="1"/>
  <c r="CW29" i="1"/>
  <c r="DJ29" i="1"/>
  <c r="CW211" i="1"/>
  <c r="DJ211" i="1"/>
  <c r="CW135" i="1"/>
  <c r="DJ135" i="1"/>
  <c r="CW161" i="1"/>
  <c r="DJ161" i="1"/>
  <c r="CW75" i="1"/>
  <c r="DJ75" i="1"/>
  <c r="CW237" i="1"/>
  <c r="DJ237" i="1"/>
  <c r="CW268" i="1"/>
  <c r="DJ268" i="1"/>
  <c r="CW126" i="1"/>
  <c r="DJ126" i="1"/>
  <c r="CW76" i="1"/>
  <c r="DJ76" i="1"/>
  <c r="CW179" i="1"/>
  <c r="DJ179" i="1"/>
  <c r="CW103" i="1"/>
  <c r="DJ103" i="1"/>
  <c r="CW248" i="1"/>
  <c r="DJ248" i="1"/>
  <c r="CW180" i="1"/>
  <c r="DJ180" i="1"/>
  <c r="CW213" i="1"/>
  <c r="DJ213" i="1"/>
  <c r="CW96" i="1"/>
  <c r="DJ96" i="1"/>
  <c r="CW149" i="1"/>
  <c r="DJ149" i="1"/>
  <c r="CW188" i="1"/>
  <c r="DJ188" i="1"/>
  <c r="CW153" i="1"/>
  <c r="DJ153" i="1"/>
  <c r="CW117" i="1"/>
  <c r="DJ117" i="1"/>
  <c r="CW106" i="1"/>
  <c r="DJ106" i="1"/>
  <c r="CW18" i="1"/>
  <c r="DJ18" i="1"/>
  <c r="CW73" i="1"/>
  <c r="DJ73" i="1"/>
  <c r="CW60" i="1"/>
  <c r="DJ60" i="1"/>
  <c r="CW36" i="1"/>
  <c r="DJ36" i="1"/>
  <c r="CW120" i="1"/>
  <c r="DJ120" i="1"/>
  <c r="CW142" i="1"/>
  <c r="DJ142" i="1"/>
  <c r="CW176" i="1"/>
  <c r="DJ176" i="1"/>
  <c r="CW37" i="1"/>
  <c r="DJ37" i="1"/>
  <c r="CW143" i="1"/>
  <c r="DJ143" i="1"/>
  <c r="CW243" i="1"/>
  <c r="DJ243" i="1"/>
  <c r="CW233" i="1"/>
  <c r="DJ233" i="1"/>
  <c r="CW212" i="1"/>
  <c r="DJ212" i="1"/>
  <c r="CW133" i="1"/>
  <c r="DJ133" i="1"/>
  <c r="CW90" i="1"/>
  <c r="DJ90" i="1"/>
  <c r="CW97" i="1"/>
  <c r="DJ97" i="1"/>
  <c r="CW227" i="1"/>
  <c r="DJ227" i="1"/>
  <c r="CW271" i="1"/>
  <c r="DJ271" i="1"/>
  <c r="CW110" i="1"/>
  <c r="DJ110" i="1"/>
  <c r="CW222" i="1"/>
  <c r="DJ222" i="1"/>
  <c r="CW67" i="1"/>
  <c r="DJ67" i="1"/>
  <c r="CW134" i="1"/>
  <c r="DJ134" i="1"/>
  <c r="CW42" i="1"/>
  <c r="DJ42" i="1"/>
  <c r="CW132" i="1"/>
  <c r="DJ132" i="1"/>
  <c r="CW11" i="1"/>
  <c r="DJ11" i="1"/>
  <c r="CW118" i="1"/>
  <c r="DJ118" i="1"/>
  <c r="CW38" i="1"/>
  <c r="DJ38" i="1"/>
  <c r="CW232" i="1"/>
  <c r="DJ232" i="1"/>
  <c r="CW83" i="1"/>
  <c r="DJ83" i="1"/>
  <c r="CW84" i="1"/>
  <c r="DJ84" i="1"/>
  <c r="CW228" i="1"/>
  <c r="DJ228" i="1"/>
  <c r="CW174" i="1"/>
  <c r="DJ174" i="1"/>
  <c r="CW170" i="1"/>
  <c r="DJ170" i="1"/>
  <c r="CW98" i="1"/>
  <c r="DJ98" i="1"/>
  <c r="CW195" i="1"/>
  <c r="DJ195" i="1"/>
  <c r="CW14" i="1"/>
  <c r="DJ14" i="1"/>
  <c r="CW263" i="1"/>
  <c r="DJ263" i="1"/>
  <c r="CW225" i="1"/>
  <c r="DJ225" i="1"/>
  <c r="CW81" i="1"/>
  <c r="DJ81" i="1"/>
  <c r="CW72" i="1"/>
  <c r="DJ72" i="1"/>
  <c r="CW204" i="1"/>
  <c r="DJ204" i="1"/>
  <c r="CW150" i="1"/>
  <c r="DJ150" i="1"/>
  <c r="CW173" i="1"/>
  <c r="DJ173" i="1"/>
  <c r="CW226" i="1"/>
  <c r="DJ226" i="1"/>
  <c r="CW138" i="1"/>
  <c r="DJ138" i="1"/>
  <c r="CW52" i="1"/>
  <c r="DJ52" i="1"/>
  <c r="CW175" i="1"/>
  <c r="DJ175" i="1"/>
  <c r="CW140" i="1"/>
  <c r="DJ140" i="1"/>
  <c r="CW66" i="1"/>
  <c r="DJ66" i="1"/>
  <c r="CW194" i="1"/>
  <c r="DJ194" i="1"/>
  <c r="CW252" i="1"/>
  <c r="DJ252" i="1"/>
  <c r="CW270" i="1"/>
  <c r="DJ270" i="1"/>
  <c r="CW43" i="1"/>
  <c r="DJ43" i="1"/>
  <c r="CW235" i="1"/>
  <c r="DJ235" i="1"/>
  <c r="CW196" i="1"/>
  <c r="DJ196" i="1"/>
  <c r="CW27" i="1"/>
  <c r="DJ27" i="1"/>
  <c r="CW265" i="1"/>
  <c r="DJ265" i="1"/>
  <c r="CW114" i="1"/>
  <c r="DJ114" i="1"/>
  <c r="CW22" i="1"/>
  <c r="DJ22" i="1"/>
  <c r="CW100" i="1"/>
  <c r="DJ100" i="1"/>
  <c r="CW8" i="1"/>
  <c r="DJ8" i="1"/>
  <c r="CW144" i="1"/>
  <c r="DJ144" i="1"/>
  <c r="CW71" i="1"/>
  <c r="DJ71" i="1"/>
  <c r="CW269" i="1"/>
  <c r="DJ269" i="1"/>
  <c r="CW255" i="1"/>
  <c r="DJ255" i="1"/>
  <c r="CW25" i="1"/>
  <c r="DJ25" i="1"/>
  <c r="CW192" i="1"/>
  <c r="DJ192" i="1"/>
  <c r="CW216" i="1"/>
  <c r="DJ216" i="1"/>
  <c r="CW105" i="1"/>
  <c r="DJ105" i="1"/>
  <c r="CW108" i="1"/>
  <c r="DJ108" i="1"/>
  <c r="CW82" i="1"/>
  <c r="DJ82" i="1"/>
  <c r="CW50" i="1"/>
  <c r="DJ50" i="1"/>
  <c r="CW123" i="1"/>
  <c r="DJ123" i="1"/>
  <c r="CW45" i="1"/>
  <c r="DJ45" i="1"/>
  <c r="CW148" i="1"/>
  <c r="DJ148" i="1"/>
  <c r="CW253" i="1"/>
  <c r="DJ253" i="1"/>
  <c r="CW244" i="1"/>
  <c r="DJ244" i="1"/>
  <c r="CW125" i="1"/>
  <c r="DJ125" i="1"/>
  <c r="CW121" i="1"/>
  <c r="DJ121" i="1"/>
  <c r="CW185" i="1"/>
  <c r="DJ185" i="1"/>
  <c r="CW70" i="1"/>
  <c r="DJ70" i="1"/>
  <c r="CW146" i="1"/>
  <c r="DJ146" i="1"/>
  <c r="CW78" i="1"/>
  <c r="DJ78" i="1"/>
  <c r="CW205" i="1"/>
  <c r="DJ205" i="1"/>
  <c r="CW19" i="1"/>
  <c r="DJ19" i="1"/>
  <c r="CW187" i="1"/>
  <c r="DJ187" i="1"/>
  <c r="CW17" i="1"/>
  <c r="DJ17" i="1"/>
  <c r="CW94" i="1"/>
  <c r="DJ94" i="1"/>
  <c r="CW80" i="1"/>
  <c r="DJ80" i="1"/>
  <c r="CW39" i="1"/>
  <c r="DJ39" i="1"/>
  <c r="CW193" i="1"/>
  <c r="DJ193" i="1"/>
  <c r="CW220" i="1"/>
  <c r="DJ220" i="1"/>
  <c r="CW89" i="1"/>
  <c r="DJ89" i="1"/>
  <c r="CW254" i="1"/>
  <c r="DJ254" i="1"/>
  <c r="CW51" i="1"/>
  <c r="DJ51" i="1"/>
  <c r="CW266" i="1"/>
  <c r="DJ266" i="1"/>
  <c r="CW130" i="1"/>
  <c r="DJ130" i="1"/>
  <c r="CW101" i="1"/>
  <c r="DJ101" i="1"/>
  <c r="CW64" i="1"/>
  <c r="DJ64" i="1"/>
  <c r="CW85" i="1"/>
  <c r="DJ85" i="1"/>
  <c r="CW257" i="1"/>
  <c r="DJ257" i="1"/>
  <c r="CW26" i="1"/>
  <c r="DJ26" i="1"/>
  <c r="CW264" i="1"/>
  <c r="DJ264" i="1"/>
  <c r="CW236" i="1"/>
  <c r="DJ236" i="1"/>
  <c r="CW55" i="1"/>
  <c r="DJ55" i="1"/>
  <c r="CW77" i="1"/>
  <c r="DJ77" i="1"/>
  <c r="CW231" i="1"/>
  <c r="DJ231" i="1"/>
  <c r="CW162" i="1"/>
  <c r="DJ162" i="1"/>
  <c r="CW249" i="1"/>
  <c r="DJ249" i="1"/>
  <c r="CW171" i="1"/>
  <c r="DJ171" i="1"/>
  <c r="CW63" i="1"/>
  <c r="DJ63" i="1"/>
  <c r="CW139" i="1"/>
  <c r="DJ139" i="1"/>
  <c r="CW48" i="1"/>
  <c r="DJ48" i="1"/>
  <c r="CW10" i="1"/>
  <c r="DJ10" i="1"/>
  <c r="CW34" i="1"/>
  <c r="DJ34" i="1"/>
  <c r="CW242" i="1"/>
  <c r="DJ242" i="1"/>
  <c r="CW178" i="1"/>
  <c r="DJ178" i="1"/>
  <c r="CW21" i="1"/>
  <c r="DJ21" i="1"/>
  <c r="CW12" i="1"/>
  <c r="DJ12" i="1"/>
  <c r="CW30" i="1"/>
  <c r="DJ30" i="1"/>
  <c r="CW246" i="1"/>
  <c r="DJ246" i="1"/>
  <c r="CW31" i="1"/>
  <c r="DJ31" i="1"/>
  <c r="CW102" i="1"/>
  <c r="DJ102" i="1"/>
  <c r="CW33" i="1"/>
  <c r="DJ33" i="1"/>
  <c r="CW32" i="1"/>
  <c r="DJ32" i="1"/>
  <c r="CW131" i="1"/>
  <c r="DJ131" i="1"/>
  <c r="CW9" i="1"/>
  <c r="DJ9" i="1"/>
  <c r="CW62" i="1"/>
  <c r="DJ62" i="1"/>
  <c r="CW119" i="1"/>
  <c r="DJ119" i="1"/>
  <c r="CW23" i="1"/>
  <c r="DJ23" i="1"/>
  <c r="CW57" i="1"/>
  <c r="DJ57" i="1"/>
  <c r="CW200" i="1"/>
  <c r="DJ200" i="1"/>
  <c r="CW68" i="1"/>
  <c r="DJ68" i="1"/>
  <c r="CW199" i="1"/>
  <c r="DJ199" i="1"/>
  <c r="CW107" i="1"/>
  <c r="DJ107" i="1"/>
  <c r="CW165" i="1"/>
  <c r="DJ165" i="1"/>
  <c r="CW183" i="1"/>
  <c r="DJ183" i="1"/>
  <c r="CW197" i="1"/>
  <c r="DJ197" i="1"/>
  <c r="CW129" i="1"/>
  <c r="DJ129" i="1"/>
  <c r="CW158" i="1"/>
  <c r="DJ158" i="1"/>
  <c r="CW203" i="1"/>
  <c r="DJ203" i="1"/>
  <c r="CW141" i="1"/>
  <c r="DJ141" i="1"/>
  <c r="CW41" i="1"/>
  <c r="DJ41" i="1"/>
  <c r="CW169" i="1"/>
  <c r="DJ169" i="1"/>
  <c r="CW224" i="1"/>
  <c r="DJ224" i="1"/>
  <c r="CW137" i="1"/>
  <c r="DJ137" i="1"/>
  <c r="CW223" i="1"/>
  <c r="DJ223" i="1"/>
  <c r="CW164" i="1"/>
  <c r="DJ164" i="1"/>
  <c r="CW44" i="1"/>
  <c r="DJ44" i="1"/>
  <c r="CW168" i="1"/>
  <c r="DJ168" i="1"/>
  <c r="CW259" i="1"/>
  <c r="DJ259" i="1"/>
  <c r="CW163" i="1"/>
  <c r="DJ163" i="1"/>
  <c r="CW115" i="1"/>
  <c r="DJ115" i="1"/>
  <c r="CW20" i="1"/>
  <c r="DJ20" i="1"/>
  <c r="CW155" i="1"/>
  <c r="DJ155" i="1"/>
  <c r="CW74" i="1"/>
  <c r="DJ74" i="1"/>
  <c r="CW219" i="1"/>
  <c r="DJ219" i="1"/>
  <c r="CW69" i="1"/>
  <c r="DJ69" i="1"/>
  <c r="CW109" i="1"/>
  <c r="DJ109" i="1"/>
  <c r="CW154" i="1"/>
  <c r="DJ154" i="1"/>
  <c r="CW87" i="1"/>
  <c r="DJ87" i="1"/>
  <c r="CW92" i="1"/>
  <c r="DJ92" i="1"/>
  <c r="CW166" i="1"/>
  <c r="DJ166" i="1"/>
  <c r="CW86" i="1"/>
  <c r="DJ86" i="1"/>
  <c r="CW111" i="1"/>
  <c r="DJ111" i="1"/>
  <c r="CW58" i="1"/>
  <c r="DJ58" i="1"/>
  <c r="CW53" i="1"/>
  <c r="DJ53" i="1"/>
  <c r="CW186" i="1"/>
  <c r="DJ186" i="1"/>
  <c r="CW136" i="1"/>
  <c r="DJ136" i="1"/>
  <c r="CW208" i="1"/>
  <c r="DJ208" i="1"/>
  <c r="CW93" i="1"/>
  <c r="DJ93" i="1"/>
  <c r="CW256" i="1"/>
  <c r="DJ256" i="1"/>
  <c r="CW189" i="1"/>
  <c r="DJ189" i="1"/>
  <c r="CW238" i="1"/>
  <c r="DJ238" i="1"/>
  <c r="CW28" i="1"/>
  <c r="DJ28" i="1"/>
  <c r="CW230" i="1"/>
  <c r="DJ230" i="1"/>
  <c r="CW147" i="1"/>
  <c r="DJ147" i="1"/>
  <c r="CW88" i="1"/>
  <c r="DJ88" i="1"/>
  <c r="CW240" i="1"/>
  <c r="DJ240" i="1"/>
  <c r="CW145" i="1"/>
  <c r="DJ145" i="1"/>
  <c r="CW91" i="1"/>
  <c r="DJ91" i="1"/>
  <c r="CW59" i="1"/>
  <c r="DJ59" i="1"/>
  <c r="CW152" i="1"/>
  <c r="DJ152" i="1"/>
  <c r="CW46" i="1"/>
  <c r="DJ46" i="1"/>
  <c r="CW122" i="1"/>
  <c r="DJ122" i="1"/>
  <c r="CW99" i="1"/>
  <c r="DJ99" i="1"/>
  <c r="CW241" i="1"/>
  <c r="DJ241" i="1"/>
  <c r="CW229" i="1"/>
  <c r="DJ229" i="1"/>
  <c r="CW215" i="1"/>
  <c r="DJ215" i="1"/>
  <c r="CW239" i="1"/>
  <c r="DJ239" i="1"/>
  <c r="CW16" i="1"/>
  <c r="DJ16" i="1"/>
  <c r="CW24" i="1"/>
  <c r="DJ24" i="1"/>
  <c r="CW184" i="1"/>
  <c r="DJ184" i="1"/>
  <c r="CW221" i="1"/>
  <c r="DJ221" i="1"/>
  <c r="CW261" i="1"/>
  <c r="DJ261" i="1"/>
  <c r="CW47" i="1"/>
  <c r="DJ47" i="1"/>
  <c r="CW247" i="1"/>
  <c r="DJ247" i="1"/>
  <c r="CW56" i="1"/>
  <c r="DJ56" i="1"/>
  <c r="CW234" i="1"/>
  <c r="DJ234" i="1"/>
  <c r="CW198" i="1"/>
  <c r="DJ198" i="1"/>
  <c r="CW35" i="1"/>
  <c r="DJ35" i="1"/>
  <c r="CW181" i="1"/>
  <c r="DJ181" i="1"/>
  <c r="CW151" i="1"/>
  <c r="DJ151" i="1"/>
  <c r="CW156" i="1"/>
  <c r="DJ156" i="1"/>
  <c r="CW177" i="1"/>
  <c r="DJ177" i="1"/>
  <c r="CW49" i="1"/>
  <c r="DJ49" i="1"/>
  <c r="CW251" i="1"/>
  <c r="DJ251" i="1"/>
  <c r="CW202" i="1"/>
  <c r="DJ202" i="1"/>
  <c r="CW190" i="1"/>
  <c r="DJ190" i="1"/>
  <c r="CW172" i="1"/>
  <c r="DJ172" i="1"/>
  <c r="CW104" i="1"/>
  <c r="DJ104" i="1"/>
  <c r="CW206" i="1"/>
  <c r="DJ206" i="1"/>
  <c r="CW182" i="1"/>
  <c r="DJ182" i="1"/>
  <c r="CW160" i="1"/>
  <c r="DJ160" i="1"/>
  <c r="CW40" i="1"/>
  <c r="DJ40" i="1"/>
  <c r="CW267" i="1"/>
  <c r="DJ267" i="1"/>
  <c r="DC20" i="1"/>
  <c r="DD20" i="1"/>
  <c r="DA20" i="1"/>
  <c r="DB20" i="1"/>
  <c r="DE20" i="1"/>
  <c r="DF20" i="1"/>
  <c r="DA219" i="1"/>
  <c r="DE219" i="1"/>
  <c r="DC219" i="1"/>
  <c r="DD219" i="1"/>
  <c r="DF219" i="1"/>
  <c r="DB219" i="1"/>
  <c r="DC154" i="1"/>
  <c r="DD154" i="1"/>
  <c r="DE154" i="1"/>
  <c r="DA154" i="1"/>
  <c r="DF154" i="1"/>
  <c r="DB154" i="1"/>
  <c r="DA92" i="1"/>
  <c r="DE92" i="1"/>
  <c r="DB92" i="1"/>
  <c r="DF92" i="1"/>
  <c r="DC92" i="1"/>
  <c r="DD92" i="1"/>
  <c r="DA111" i="1"/>
  <c r="DE111" i="1"/>
  <c r="DD111" i="1"/>
  <c r="DF111" i="1"/>
  <c r="DB111" i="1"/>
  <c r="DC111" i="1"/>
  <c r="DA53" i="1"/>
  <c r="DE53" i="1"/>
  <c r="DB53" i="1"/>
  <c r="DF53" i="1"/>
  <c r="DC53" i="1"/>
  <c r="DD53" i="1"/>
  <c r="DC136" i="1"/>
  <c r="DD136" i="1"/>
  <c r="DE136" i="1"/>
  <c r="DA136" i="1"/>
  <c r="DF136" i="1"/>
  <c r="DB136" i="1"/>
  <c r="DC256" i="1"/>
  <c r="DE256" i="1"/>
  <c r="DA256" i="1"/>
  <c r="DF256" i="1"/>
  <c r="DB256" i="1"/>
  <c r="DD256" i="1"/>
  <c r="DC28" i="1"/>
  <c r="DD28" i="1"/>
  <c r="DA28" i="1"/>
  <c r="DF28" i="1"/>
  <c r="DB28" i="1"/>
  <c r="DE28" i="1"/>
  <c r="DA147" i="1"/>
  <c r="DE147" i="1"/>
  <c r="DB147" i="1"/>
  <c r="DC147" i="1"/>
  <c r="DD147" i="1"/>
  <c r="DF147" i="1"/>
  <c r="DA145" i="1"/>
  <c r="DE145" i="1"/>
  <c r="DC145" i="1"/>
  <c r="DD145" i="1"/>
  <c r="DF145" i="1"/>
  <c r="DB145" i="1"/>
  <c r="DA59" i="1"/>
  <c r="DE59" i="1"/>
  <c r="DB59" i="1"/>
  <c r="DF59" i="1"/>
  <c r="DC59" i="1"/>
  <c r="DD59" i="1"/>
  <c r="DC122" i="1"/>
  <c r="DB122" i="1"/>
  <c r="DD122" i="1"/>
  <c r="DE122" i="1"/>
  <c r="DA122" i="1"/>
  <c r="DF122" i="1"/>
  <c r="DA241" i="1"/>
  <c r="DE241" i="1"/>
  <c r="DD241" i="1"/>
  <c r="DB241" i="1"/>
  <c r="DF241" i="1"/>
  <c r="DC241" i="1"/>
  <c r="DA239" i="1"/>
  <c r="DE239" i="1"/>
  <c r="DF239" i="1"/>
  <c r="DC239" i="1"/>
  <c r="DB239" i="1"/>
  <c r="DD239" i="1"/>
  <c r="DC184" i="1"/>
  <c r="DE184" i="1"/>
  <c r="DA184" i="1"/>
  <c r="DF184" i="1"/>
  <c r="DB184" i="1"/>
  <c r="DD184" i="1"/>
  <c r="DC130" i="1"/>
  <c r="DB130" i="1"/>
  <c r="DD130" i="1"/>
  <c r="DE130" i="1"/>
  <c r="DF130" i="1"/>
  <c r="DA130" i="1"/>
  <c r="DC64" i="1"/>
  <c r="DD64" i="1"/>
  <c r="DA64" i="1"/>
  <c r="DE64" i="1"/>
  <c r="DF64" i="1"/>
  <c r="DB64" i="1"/>
  <c r="DA257" i="1"/>
  <c r="DE257" i="1"/>
  <c r="DD257" i="1"/>
  <c r="DB257" i="1"/>
  <c r="DF257" i="1"/>
  <c r="DC257" i="1"/>
  <c r="DA264" i="1"/>
  <c r="DE264" i="1"/>
  <c r="DD264" i="1"/>
  <c r="DF264" i="1"/>
  <c r="DB264" i="1"/>
  <c r="DC264" i="1"/>
  <c r="DA77" i="1"/>
  <c r="DE77" i="1"/>
  <c r="DF77" i="1"/>
  <c r="DB77" i="1"/>
  <c r="DC77" i="1"/>
  <c r="DD77" i="1"/>
  <c r="DC162" i="1"/>
  <c r="DD162" i="1"/>
  <c r="DE162" i="1"/>
  <c r="DA162" i="1"/>
  <c r="DF162" i="1"/>
  <c r="DB162" i="1"/>
  <c r="DA171" i="1"/>
  <c r="DE171" i="1"/>
  <c r="DB171" i="1"/>
  <c r="DF171" i="1"/>
  <c r="DC171" i="1"/>
  <c r="DD171" i="1"/>
  <c r="DA63" i="1"/>
  <c r="DE63" i="1"/>
  <c r="DB63" i="1"/>
  <c r="DF63" i="1"/>
  <c r="DC63" i="1"/>
  <c r="DD63" i="1"/>
  <c r="DC48" i="1"/>
  <c r="DD48" i="1"/>
  <c r="DA48" i="1"/>
  <c r="DE48" i="1"/>
  <c r="DF48" i="1"/>
  <c r="DB48" i="1"/>
  <c r="CZ10" i="1"/>
  <c r="DC10" i="1"/>
  <c r="DD10" i="1"/>
  <c r="DE10" i="1"/>
  <c r="DA10" i="1"/>
  <c r="DB10" i="1"/>
  <c r="DF10" i="1"/>
  <c r="DC34" i="1"/>
  <c r="DD34" i="1"/>
  <c r="DE34" i="1"/>
  <c r="DB34" i="1"/>
  <c r="DF34" i="1"/>
  <c r="DA34" i="1"/>
  <c r="DH242" i="1"/>
  <c r="DC242" i="1"/>
  <c r="DD242" i="1"/>
  <c r="DF242" i="1"/>
  <c r="DE242" i="1"/>
  <c r="DA242" i="1"/>
  <c r="DB242" i="1"/>
  <c r="DC178" i="1"/>
  <c r="DD178" i="1"/>
  <c r="DA178" i="1"/>
  <c r="DF178" i="1"/>
  <c r="DE178" i="1"/>
  <c r="DB178" i="1"/>
  <c r="DC116" i="1"/>
  <c r="DA116" i="1"/>
  <c r="DF116" i="1"/>
  <c r="DB116" i="1"/>
  <c r="DD116" i="1"/>
  <c r="DE116" i="1"/>
  <c r="DA21" i="1"/>
  <c r="DE21" i="1"/>
  <c r="DB21" i="1"/>
  <c r="DF21" i="1"/>
  <c r="DC21" i="1"/>
  <c r="DD21" i="1"/>
  <c r="DC218" i="1"/>
  <c r="DD218" i="1"/>
  <c r="DF218" i="1"/>
  <c r="DE218" i="1"/>
  <c r="DA218" i="1"/>
  <c r="DB218" i="1"/>
  <c r="DC12" i="1"/>
  <c r="DD12" i="1"/>
  <c r="DA12" i="1"/>
  <c r="DF12" i="1"/>
  <c r="DB12" i="1"/>
  <c r="DE12" i="1"/>
  <c r="DC260" i="1"/>
  <c r="DB260" i="1"/>
  <c r="DE260" i="1"/>
  <c r="DD260" i="1"/>
  <c r="DF260" i="1"/>
  <c r="DA260" i="1"/>
  <c r="DC30" i="1"/>
  <c r="DD30" i="1"/>
  <c r="DE30" i="1"/>
  <c r="DF30" i="1"/>
  <c r="DA30" i="1"/>
  <c r="DB30" i="1"/>
  <c r="DA159" i="1"/>
  <c r="DE159" i="1"/>
  <c r="DB159" i="1"/>
  <c r="DF159" i="1"/>
  <c r="DC159" i="1"/>
  <c r="DD159" i="1"/>
  <c r="DC270" i="1"/>
  <c r="DE270" i="1"/>
  <c r="DA270" i="1"/>
  <c r="DF270" i="1"/>
  <c r="DB270" i="1"/>
  <c r="DD270" i="1"/>
  <c r="DC246" i="1"/>
  <c r="DA246" i="1"/>
  <c r="DF246" i="1"/>
  <c r="DD246" i="1"/>
  <c r="DB246" i="1"/>
  <c r="DE246" i="1"/>
  <c r="DA201" i="1"/>
  <c r="DE201" i="1"/>
  <c r="DD201" i="1"/>
  <c r="DF201" i="1"/>
  <c r="DB201" i="1"/>
  <c r="DC201" i="1"/>
  <c r="DA31" i="1"/>
  <c r="DE31" i="1"/>
  <c r="DB31" i="1"/>
  <c r="DF31" i="1"/>
  <c r="DC31" i="1"/>
  <c r="DD31" i="1"/>
  <c r="DA15" i="1"/>
  <c r="DE15" i="1"/>
  <c r="DB15" i="1"/>
  <c r="DF15" i="1"/>
  <c r="DC15" i="1"/>
  <c r="DD15" i="1"/>
  <c r="DA43" i="1"/>
  <c r="DE43" i="1"/>
  <c r="DB43" i="1"/>
  <c r="DF43" i="1"/>
  <c r="DC43" i="1"/>
  <c r="DD43" i="1"/>
  <c r="DC102" i="1"/>
  <c r="DE102" i="1"/>
  <c r="DA102" i="1"/>
  <c r="DF102" i="1"/>
  <c r="DB102" i="1"/>
  <c r="DD102" i="1"/>
  <c r="DA217" i="1"/>
  <c r="DE217" i="1"/>
  <c r="DD217" i="1"/>
  <c r="DB217" i="1"/>
  <c r="DF217" i="1"/>
  <c r="DC217" i="1"/>
  <c r="DA235" i="1"/>
  <c r="DE235" i="1"/>
  <c r="DC235" i="1"/>
  <c r="DF235" i="1"/>
  <c r="DD235" i="1"/>
  <c r="DB235" i="1"/>
  <c r="DA33" i="1"/>
  <c r="DE33" i="1"/>
  <c r="DB33" i="1"/>
  <c r="DF33" i="1"/>
  <c r="DC33" i="1"/>
  <c r="DD33" i="1"/>
  <c r="DA157" i="1"/>
  <c r="DE157" i="1"/>
  <c r="DB157" i="1"/>
  <c r="DF157" i="1"/>
  <c r="DC157" i="1"/>
  <c r="DD157" i="1"/>
  <c r="DC196" i="1"/>
  <c r="DB196" i="1"/>
  <c r="DD196" i="1"/>
  <c r="DE196" i="1"/>
  <c r="DF196" i="1"/>
  <c r="DA196" i="1"/>
  <c r="DC32" i="1"/>
  <c r="DD32" i="1"/>
  <c r="DA32" i="1"/>
  <c r="DE32" i="1"/>
  <c r="DF32" i="1"/>
  <c r="DB32" i="1"/>
  <c r="DC191" i="1"/>
  <c r="DE191" i="1"/>
  <c r="DA191" i="1"/>
  <c r="DF191" i="1"/>
  <c r="DB191" i="1"/>
  <c r="DD191" i="1"/>
  <c r="DA27" i="1"/>
  <c r="DE27" i="1"/>
  <c r="DB27" i="1"/>
  <c r="DF27" i="1"/>
  <c r="DC27" i="1"/>
  <c r="DD27" i="1"/>
  <c r="DA131" i="1"/>
  <c r="DE131" i="1"/>
  <c r="DB131" i="1"/>
  <c r="DC131" i="1"/>
  <c r="DD131" i="1"/>
  <c r="DF131" i="1"/>
  <c r="DC214" i="1"/>
  <c r="DA214" i="1"/>
  <c r="DF214" i="1"/>
  <c r="DB214" i="1"/>
  <c r="DD214" i="1"/>
  <c r="DE214" i="1"/>
  <c r="DA9" i="1"/>
  <c r="DE9" i="1"/>
  <c r="DB9" i="1"/>
  <c r="DF9" i="1"/>
  <c r="DC9" i="1"/>
  <c r="DD9" i="1"/>
  <c r="DC265" i="1"/>
  <c r="DD265" i="1"/>
  <c r="DA265" i="1"/>
  <c r="DE265" i="1"/>
  <c r="DF265" i="1"/>
  <c r="DB265" i="1"/>
  <c r="DA61" i="1"/>
  <c r="DE61" i="1"/>
  <c r="DB61" i="1"/>
  <c r="DF61" i="1"/>
  <c r="DC61" i="1"/>
  <c r="DD61" i="1"/>
  <c r="DC62" i="1"/>
  <c r="DD62" i="1"/>
  <c r="DE62" i="1"/>
  <c r="DF62" i="1"/>
  <c r="DA62" i="1"/>
  <c r="DB62" i="1"/>
  <c r="DA65" i="1"/>
  <c r="DE65" i="1"/>
  <c r="DB65" i="1"/>
  <c r="DF65" i="1"/>
  <c r="DC65" i="1"/>
  <c r="DD65" i="1"/>
  <c r="DA114" i="1"/>
  <c r="DE114" i="1"/>
  <c r="DD114" i="1"/>
  <c r="DF114" i="1"/>
  <c r="DB114" i="1"/>
  <c r="DC114" i="1"/>
  <c r="DA245" i="1"/>
  <c r="DE245" i="1"/>
  <c r="DB245" i="1"/>
  <c r="DC245" i="1"/>
  <c r="DD245" i="1"/>
  <c r="DF245" i="1"/>
  <c r="DA119" i="1"/>
  <c r="DE119" i="1"/>
  <c r="DD119" i="1"/>
  <c r="DF119" i="1"/>
  <c r="DB119" i="1"/>
  <c r="DC119" i="1"/>
  <c r="DC128" i="1"/>
  <c r="DD128" i="1"/>
  <c r="DE128" i="1"/>
  <c r="DF128" i="1"/>
  <c r="DA128" i="1"/>
  <c r="DB128" i="1"/>
  <c r="DA23" i="1"/>
  <c r="DE23" i="1"/>
  <c r="DB23" i="1"/>
  <c r="DF23" i="1"/>
  <c r="DD23" i="1"/>
  <c r="DC23" i="1"/>
  <c r="DA207" i="1"/>
  <c r="DE207" i="1"/>
  <c r="DF207" i="1"/>
  <c r="DC207" i="1"/>
  <c r="DB207" i="1"/>
  <c r="DD207" i="1"/>
  <c r="DC22" i="1"/>
  <c r="DD22" i="1"/>
  <c r="DE22" i="1"/>
  <c r="DA22" i="1"/>
  <c r="DB22" i="1"/>
  <c r="DF22" i="1"/>
  <c r="DA57" i="1"/>
  <c r="DE57" i="1"/>
  <c r="DB57" i="1"/>
  <c r="DF57" i="1"/>
  <c r="DC57" i="1"/>
  <c r="DD57" i="1"/>
  <c r="DA167" i="1"/>
  <c r="DE167" i="1"/>
  <c r="DB167" i="1"/>
  <c r="DF167" i="1"/>
  <c r="DC167" i="1"/>
  <c r="DD167" i="1"/>
  <c r="DC200" i="1"/>
  <c r="DE200" i="1"/>
  <c r="DB200" i="1"/>
  <c r="DA200" i="1"/>
  <c r="DF200" i="1"/>
  <c r="DD200" i="1"/>
  <c r="DC100" i="1"/>
  <c r="DA100" i="1"/>
  <c r="DF100" i="1"/>
  <c r="DB100" i="1"/>
  <c r="DD100" i="1"/>
  <c r="DE100" i="1"/>
  <c r="DA261" i="1"/>
  <c r="DE261" i="1"/>
  <c r="DB261" i="1"/>
  <c r="DC261" i="1"/>
  <c r="DD261" i="1"/>
  <c r="DF261" i="1"/>
  <c r="DA47" i="1"/>
  <c r="DE47" i="1"/>
  <c r="DB47" i="1"/>
  <c r="DF47" i="1"/>
  <c r="DC47" i="1"/>
  <c r="DD47" i="1"/>
  <c r="DA247" i="1"/>
  <c r="DE247" i="1"/>
  <c r="DF247" i="1"/>
  <c r="DB247" i="1"/>
  <c r="DC247" i="1"/>
  <c r="DD247" i="1"/>
  <c r="DC56" i="1"/>
  <c r="DD56" i="1"/>
  <c r="DA56" i="1"/>
  <c r="DB56" i="1"/>
  <c r="DE56" i="1"/>
  <c r="DF56" i="1"/>
  <c r="DC234" i="1"/>
  <c r="DD234" i="1"/>
  <c r="DA234" i="1"/>
  <c r="DE234" i="1"/>
  <c r="DF234" i="1"/>
  <c r="DB234" i="1"/>
  <c r="DC198" i="1"/>
  <c r="DA198" i="1"/>
  <c r="DF198" i="1"/>
  <c r="DD198" i="1"/>
  <c r="DB198" i="1"/>
  <c r="DE198" i="1"/>
  <c r="DA35" i="1"/>
  <c r="DE35" i="1"/>
  <c r="DF35" i="1"/>
  <c r="DC35" i="1"/>
  <c r="DB35" i="1"/>
  <c r="DD35" i="1"/>
  <c r="DA181" i="1"/>
  <c r="DE181" i="1"/>
  <c r="DB181" i="1"/>
  <c r="DD181" i="1"/>
  <c r="DC181" i="1"/>
  <c r="DF181" i="1"/>
  <c r="DC151" i="1"/>
  <c r="DD151" i="1"/>
  <c r="DE151" i="1"/>
  <c r="DA151" i="1"/>
  <c r="DF151" i="1"/>
  <c r="DB151" i="1"/>
  <c r="DC156" i="1"/>
  <c r="DD156" i="1"/>
  <c r="DA156" i="1"/>
  <c r="DE156" i="1"/>
  <c r="DB156" i="1"/>
  <c r="DF156" i="1"/>
  <c r="DA177" i="1"/>
  <c r="DE177" i="1"/>
  <c r="DB177" i="1"/>
  <c r="DF177" i="1"/>
  <c r="DC177" i="1"/>
  <c r="DD177" i="1"/>
  <c r="DA49" i="1"/>
  <c r="DE49" i="1"/>
  <c r="DB49" i="1"/>
  <c r="DF49" i="1"/>
  <c r="DC49" i="1"/>
  <c r="DD49" i="1"/>
  <c r="DA251" i="1"/>
  <c r="DE251" i="1"/>
  <c r="DC251" i="1"/>
  <c r="DF251" i="1"/>
  <c r="DD251" i="1"/>
  <c r="DB251" i="1"/>
  <c r="DA202" i="1"/>
  <c r="DE202" i="1"/>
  <c r="DF202" i="1"/>
  <c r="DC202" i="1"/>
  <c r="DB202" i="1"/>
  <c r="DD202" i="1"/>
  <c r="DC190" i="1"/>
  <c r="DA190" i="1"/>
  <c r="DF190" i="1"/>
  <c r="DD190" i="1"/>
  <c r="DB190" i="1"/>
  <c r="DE190" i="1"/>
  <c r="CY172" i="1"/>
  <c r="DC172" i="1"/>
  <c r="DD172" i="1"/>
  <c r="DA172" i="1"/>
  <c r="DE172" i="1"/>
  <c r="DB172" i="1"/>
  <c r="DF172" i="1"/>
  <c r="DC104" i="1"/>
  <c r="DD104" i="1"/>
  <c r="DE104" i="1"/>
  <c r="DA104" i="1"/>
  <c r="DF104" i="1"/>
  <c r="DB104" i="1"/>
  <c r="DC206" i="1"/>
  <c r="DA206" i="1"/>
  <c r="DF206" i="1"/>
  <c r="DB206" i="1"/>
  <c r="DD206" i="1"/>
  <c r="DE206" i="1"/>
  <c r="DG182" i="1"/>
  <c r="DC182" i="1"/>
  <c r="DA182" i="1"/>
  <c r="DF182" i="1"/>
  <c r="DD182" i="1"/>
  <c r="DB182" i="1"/>
  <c r="DE182" i="1"/>
  <c r="DC160" i="1"/>
  <c r="DD160" i="1"/>
  <c r="DA160" i="1"/>
  <c r="DE160" i="1"/>
  <c r="DB160" i="1"/>
  <c r="DF160" i="1"/>
  <c r="DH40" i="1"/>
  <c r="DC40" i="1"/>
  <c r="DD40" i="1"/>
  <c r="DA40" i="1"/>
  <c r="DB40" i="1"/>
  <c r="DE40" i="1"/>
  <c r="DF40" i="1"/>
  <c r="DC267" i="1"/>
  <c r="DB267" i="1"/>
  <c r="DD267" i="1"/>
  <c r="DE267" i="1"/>
  <c r="DA267" i="1"/>
  <c r="DF267" i="1"/>
  <c r="DC155" i="1"/>
  <c r="DB155" i="1"/>
  <c r="DE155" i="1"/>
  <c r="DD155" i="1"/>
  <c r="DF155" i="1"/>
  <c r="DA155" i="1"/>
  <c r="DA109" i="1"/>
  <c r="DE109" i="1"/>
  <c r="DF109" i="1"/>
  <c r="DB109" i="1"/>
  <c r="DC109" i="1"/>
  <c r="DD109" i="1"/>
  <c r="DC166" i="1"/>
  <c r="DD166" i="1"/>
  <c r="DE166" i="1"/>
  <c r="DA166" i="1"/>
  <c r="DF166" i="1"/>
  <c r="DB166" i="1"/>
  <c r="DC208" i="1"/>
  <c r="DE208" i="1"/>
  <c r="DA208" i="1"/>
  <c r="DF208" i="1"/>
  <c r="DB208" i="1"/>
  <c r="DD208" i="1"/>
  <c r="DC238" i="1"/>
  <c r="DA238" i="1"/>
  <c r="DF238" i="1"/>
  <c r="DB238" i="1"/>
  <c r="DD238" i="1"/>
  <c r="DE238" i="1"/>
  <c r="DC240" i="1"/>
  <c r="DE240" i="1"/>
  <c r="DA240" i="1"/>
  <c r="DF240" i="1"/>
  <c r="DB240" i="1"/>
  <c r="DD240" i="1"/>
  <c r="DA152" i="1"/>
  <c r="DE152" i="1"/>
  <c r="DB152" i="1"/>
  <c r="DF152" i="1"/>
  <c r="DC152" i="1"/>
  <c r="DD152" i="1"/>
  <c r="DA229" i="1"/>
  <c r="DE229" i="1"/>
  <c r="DB229" i="1"/>
  <c r="DC229" i="1"/>
  <c r="DD229" i="1"/>
  <c r="DF229" i="1"/>
  <c r="DC16" i="1"/>
  <c r="DD16" i="1"/>
  <c r="DA16" i="1"/>
  <c r="DE16" i="1"/>
  <c r="DF16" i="1"/>
  <c r="DB16" i="1"/>
  <c r="DA51" i="1"/>
  <c r="DE51" i="1"/>
  <c r="DB51" i="1"/>
  <c r="DF51" i="1"/>
  <c r="DC51" i="1"/>
  <c r="DD51" i="1"/>
  <c r="DE101" i="1"/>
  <c r="DF101" i="1"/>
  <c r="DC236" i="1"/>
  <c r="DB236" i="1"/>
  <c r="DD236" i="1"/>
  <c r="DE236" i="1"/>
  <c r="DA236" i="1"/>
  <c r="DF236" i="1"/>
  <c r="DA237" i="1"/>
  <c r="DE237" i="1"/>
  <c r="DB237" i="1"/>
  <c r="DD237" i="1"/>
  <c r="DC237" i="1"/>
  <c r="DF237" i="1"/>
  <c r="DC76" i="1"/>
  <c r="DA76" i="1"/>
  <c r="DF76" i="1"/>
  <c r="DB76" i="1"/>
  <c r="DD76" i="1"/>
  <c r="DE76" i="1"/>
  <c r="DC248" i="1"/>
  <c r="DE248" i="1"/>
  <c r="DB248" i="1"/>
  <c r="DA248" i="1"/>
  <c r="DF248" i="1"/>
  <c r="DD248" i="1"/>
  <c r="DC96" i="1"/>
  <c r="DD96" i="1"/>
  <c r="DE96" i="1"/>
  <c r="DF96" i="1"/>
  <c r="DA96" i="1"/>
  <c r="DB96" i="1"/>
  <c r="DC153" i="1"/>
  <c r="DA153" i="1"/>
  <c r="DF153" i="1"/>
  <c r="DB153" i="1"/>
  <c r="DD153" i="1"/>
  <c r="DE153" i="1"/>
  <c r="DA73" i="1"/>
  <c r="DE73" i="1"/>
  <c r="DC73" i="1"/>
  <c r="DD73" i="1"/>
  <c r="DF73" i="1"/>
  <c r="DB73" i="1"/>
  <c r="DC142" i="1"/>
  <c r="DE142" i="1"/>
  <c r="DA142" i="1"/>
  <c r="DF142" i="1"/>
  <c r="DB142" i="1"/>
  <c r="DD142" i="1"/>
  <c r="DA143" i="1"/>
  <c r="DE143" i="1"/>
  <c r="DD143" i="1"/>
  <c r="DF143" i="1"/>
  <c r="DB143" i="1"/>
  <c r="DC143" i="1"/>
  <c r="DA233" i="1"/>
  <c r="DE233" i="1"/>
  <c r="DD233" i="1"/>
  <c r="DF233" i="1"/>
  <c r="DB233" i="1"/>
  <c r="DC233" i="1"/>
  <c r="DA133" i="1"/>
  <c r="DE133" i="1"/>
  <c r="DF133" i="1"/>
  <c r="DB133" i="1"/>
  <c r="DC133" i="1"/>
  <c r="DD133" i="1"/>
  <c r="DA97" i="1"/>
  <c r="DE97" i="1"/>
  <c r="DC97" i="1"/>
  <c r="DD97" i="1"/>
  <c r="DF97" i="1"/>
  <c r="DB97" i="1"/>
  <c r="DA271" i="1"/>
  <c r="DE271" i="1"/>
  <c r="DD271" i="1"/>
  <c r="DB271" i="1"/>
  <c r="DF271" i="1"/>
  <c r="DC271" i="1"/>
  <c r="DC110" i="1"/>
  <c r="DE110" i="1"/>
  <c r="DA110" i="1"/>
  <c r="DF110" i="1"/>
  <c r="DB110" i="1"/>
  <c r="DD110" i="1"/>
  <c r="DC222" i="1"/>
  <c r="DA222" i="1"/>
  <c r="DF222" i="1"/>
  <c r="DD222" i="1"/>
  <c r="DB222" i="1"/>
  <c r="DE222" i="1"/>
  <c r="DC67" i="1"/>
  <c r="DD67" i="1"/>
  <c r="DE67" i="1"/>
  <c r="DA67" i="1"/>
  <c r="DF67" i="1"/>
  <c r="DB67" i="1"/>
  <c r="DC134" i="1"/>
  <c r="DE134" i="1"/>
  <c r="DA134" i="1"/>
  <c r="DF134" i="1"/>
  <c r="DB134" i="1"/>
  <c r="DD134" i="1"/>
  <c r="DC42" i="1"/>
  <c r="DD42" i="1"/>
  <c r="DE42" i="1"/>
  <c r="DA42" i="1"/>
  <c r="DB42" i="1"/>
  <c r="DF42" i="1"/>
  <c r="DC132" i="1"/>
  <c r="DA132" i="1"/>
  <c r="DF132" i="1"/>
  <c r="DB132" i="1"/>
  <c r="DD132" i="1"/>
  <c r="DE132" i="1"/>
  <c r="DA11" i="1"/>
  <c r="DE11" i="1"/>
  <c r="DB11" i="1"/>
  <c r="DF11" i="1"/>
  <c r="DC11" i="1"/>
  <c r="DD11" i="1"/>
  <c r="DC118" i="1"/>
  <c r="DE118" i="1"/>
  <c r="DA118" i="1"/>
  <c r="DF118" i="1"/>
  <c r="DB118" i="1"/>
  <c r="DD118" i="1"/>
  <c r="DC38" i="1"/>
  <c r="DD38" i="1"/>
  <c r="DE38" i="1"/>
  <c r="DA38" i="1"/>
  <c r="DB38" i="1"/>
  <c r="DF38" i="1"/>
  <c r="DC232" i="1"/>
  <c r="DE232" i="1"/>
  <c r="DB232" i="1"/>
  <c r="DA232" i="1"/>
  <c r="DF232" i="1"/>
  <c r="DD232" i="1"/>
  <c r="DC54" i="1"/>
  <c r="DD54" i="1"/>
  <c r="DE54" i="1"/>
  <c r="DA54" i="1"/>
  <c r="DB54" i="1"/>
  <c r="DF54" i="1"/>
  <c r="DC262" i="1"/>
  <c r="DA262" i="1"/>
  <c r="DF262" i="1"/>
  <c r="DD262" i="1"/>
  <c r="DB262" i="1"/>
  <c r="DE262" i="1"/>
  <c r="DC68" i="1"/>
  <c r="DA68" i="1"/>
  <c r="DF68" i="1"/>
  <c r="DB68" i="1"/>
  <c r="DD68" i="1"/>
  <c r="DE68" i="1"/>
  <c r="DC144" i="1"/>
  <c r="DD144" i="1"/>
  <c r="DE144" i="1"/>
  <c r="DF144" i="1"/>
  <c r="DA144" i="1"/>
  <c r="DB144" i="1"/>
  <c r="DA199" i="1"/>
  <c r="DE199" i="1"/>
  <c r="DF199" i="1"/>
  <c r="DB199" i="1"/>
  <c r="DC199" i="1"/>
  <c r="DD199" i="1"/>
  <c r="DA7" i="1"/>
  <c r="DE7" i="1"/>
  <c r="DC7" i="1"/>
  <c r="DD7" i="1"/>
  <c r="DF7" i="1"/>
  <c r="DB7" i="1"/>
  <c r="DA71" i="1"/>
  <c r="DE71" i="1"/>
  <c r="DD71" i="1"/>
  <c r="DF71" i="1"/>
  <c r="DB71" i="1"/>
  <c r="DC71" i="1"/>
  <c r="DA29" i="1"/>
  <c r="DE29" i="1"/>
  <c r="DB29" i="1"/>
  <c r="DF29" i="1"/>
  <c r="DC29" i="1"/>
  <c r="DD29" i="1"/>
  <c r="DA107" i="1"/>
  <c r="DE107" i="1"/>
  <c r="DB107" i="1"/>
  <c r="DC107" i="1"/>
  <c r="DD107" i="1"/>
  <c r="DF107" i="1"/>
  <c r="DA269" i="1"/>
  <c r="DE269" i="1"/>
  <c r="DF269" i="1"/>
  <c r="DC269" i="1"/>
  <c r="DB269" i="1"/>
  <c r="DD269" i="1"/>
  <c r="DA211" i="1"/>
  <c r="DE211" i="1"/>
  <c r="DC211" i="1"/>
  <c r="DF211" i="1"/>
  <c r="DD211" i="1"/>
  <c r="DB211" i="1"/>
  <c r="DA165" i="1"/>
  <c r="DE165" i="1"/>
  <c r="DB165" i="1"/>
  <c r="DF165" i="1"/>
  <c r="DC165" i="1"/>
  <c r="DD165" i="1"/>
  <c r="DC255" i="1"/>
  <c r="DD255" i="1"/>
  <c r="DA255" i="1"/>
  <c r="DE255" i="1"/>
  <c r="DF255" i="1"/>
  <c r="DB255" i="1"/>
  <c r="DA183" i="1"/>
  <c r="DE183" i="1"/>
  <c r="DF183" i="1"/>
  <c r="DC183" i="1"/>
  <c r="DB183" i="1"/>
  <c r="DD183" i="1"/>
  <c r="DA135" i="1"/>
  <c r="DE135" i="1"/>
  <c r="DD135" i="1"/>
  <c r="DF135" i="1"/>
  <c r="DB135" i="1"/>
  <c r="DC135" i="1"/>
  <c r="DA197" i="1"/>
  <c r="DE197" i="1"/>
  <c r="DB197" i="1"/>
  <c r="DD197" i="1"/>
  <c r="DC197" i="1"/>
  <c r="DF197" i="1"/>
  <c r="DG161" i="1"/>
  <c r="DA161" i="1"/>
  <c r="DE161" i="1"/>
  <c r="DB161" i="1"/>
  <c r="DF161" i="1"/>
  <c r="DC161" i="1"/>
  <c r="DD161" i="1"/>
  <c r="DA129" i="1"/>
  <c r="DE129" i="1"/>
  <c r="DC129" i="1"/>
  <c r="DD129" i="1"/>
  <c r="DF129" i="1"/>
  <c r="DB129" i="1"/>
  <c r="CY75" i="1"/>
  <c r="DA75" i="1"/>
  <c r="DE75" i="1"/>
  <c r="DB75" i="1"/>
  <c r="DC75" i="1"/>
  <c r="DD75" i="1"/>
  <c r="DF75" i="1"/>
  <c r="DA25" i="1"/>
  <c r="DE25" i="1"/>
  <c r="DB25" i="1"/>
  <c r="DF25" i="1"/>
  <c r="DC25" i="1"/>
  <c r="DD25" i="1"/>
  <c r="DC158" i="1"/>
  <c r="DD158" i="1"/>
  <c r="DE158" i="1"/>
  <c r="DA158" i="1"/>
  <c r="DF158" i="1"/>
  <c r="DB158" i="1"/>
  <c r="DC74" i="1"/>
  <c r="DB74" i="1"/>
  <c r="DD74" i="1"/>
  <c r="DE74" i="1"/>
  <c r="DA74" i="1"/>
  <c r="DF74" i="1"/>
  <c r="DA69" i="1"/>
  <c r="DE69" i="1"/>
  <c r="DF69" i="1"/>
  <c r="DB69" i="1"/>
  <c r="DC69" i="1"/>
  <c r="DD69" i="1"/>
  <c r="DA87" i="1"/>
  <c r="DE87" i="1"/>
  <c r="DD87" i="1"/>
  <c r="DF87" i="1"/>
  <c r="DB87" i="1"/>
  <c r="DC87" i="1"/>
  <c r="DC86" i="1"/>
  <c r="DE86" i="1"/>
  <c r="DA86" i="1"/>
  <c r="DF86" i="1"/>
  <c r="DB86" i="1"/>
  <c r="DD86" i="1"/>
  <c r="DC58" i="1"/>
  <c r="DD58" i="1"/>
  <c r="DE58" i="1"/>
  <c r="DA58" i="1"/>
  <c r="DB58" i="1"/>
  <c r="DF58" i="1"/>
  <c r="DE186" i="1"/>
  <c r="DF186" i="1"/>
  <c r="DA93" i="1"/>
  <c r="DE93" i="1"/>
  <c r="DF93" i="1"/>
  <c r="DB93" i="1"/>
  <c r="DC93" i="1"/>
  <c r="DD93" i="1"/>
  <c r="DA189" i="1"/>
  <c r="DE189" i="1"/>
  <c r="DB189" i="1"/>
  <c r="DD189" i="1"/>
  <c r="DC189" i="1"/>
  <c r="DF189" i="1"/>
  <c r="DC230" i="1"/>
  <c r="DA230" i="1"/>
  <c r="DF230" i="1"/>
  <c r="DD230" i="1"/>
  <c r="DB230" i="1"/>
  <c r="DE230" i="1"/>
  <c r="DC88" i="1"/>
  <c r="DD88" i="1"/>
  <c r="DE88" i="1"/>
  <c r="DA88" i="1"/>
  <c r="DF88" i="1"/>
  <c r="DB88" i="1"/>
  <c r="DA91" i="1"/>
  <c r="DE91" i="1"/>
  <c r="DB91" i="1"/>
  <c r="DC91" i="1"/>
  <c r="DD91" i="1"/>
  <c r="DF91" i="1"/>
  <c r="DC46" i="1"/>
  <c r="DD46" i="1"/>
  <c r="DE46" i="1"/>
  <c r="DF46" i="1"/>
  <c r="DA46" i="1"/>
  <c r="DB46" i="1"/>
  <c r="DA99" i="1"/>
  <c r="DE99" i="1"/>
  <c r="DB99" i="1"/>
  <c r="DC99" i="1"/>
  <c r="DD99" i="1"/>
  <c r="DF99" i="1"/>
  <c r="DA215" i="1"/>
  <c r="DE215" i="1"/>
  <c r="DF215" i="1"/>
  <c r="DC215" i="1"/>
  <c r="DB215" i="1"/>
  <c r="DD215" i="1"/>
  <c r="DC24" i="1"/>
  <c r="DD24" i="1"/>
  <c r="DA24" i="1"/>
  <c r="DB24" i="1"/>
  <c r="DE24" i="1"/>
  <c r="DF24" i="1"/>
  <c r="DA221" i="1"/>
  <c r="DE221" i="1"/>
  <c r="DB221" i="1"/>
  <c r="DC221" i="1"/>
  <c r="DD221" i="1"/>
  <c r="DF221" i="1"/>
  <c r="DA266" i="1"/>
  <c r="DE266" i="1"/>
  <c r="DC266" i="1"/>
  <c r="DF266" i="1"/>
  <c r="DD266" i="1"/>
  <c r="DB266" i="1"/>
  <c r="DA85" i="1"/>
  <c r="DE85" i="1"/>
  <c r="DF85" i="1"/>
  <c r="DB85" i="1"/>
  <c r="DC85" i="1"/>
  <c r="DD85" i="1"/>
  <c r="DC26" i="1"/>
  <c r="DD26" i="1"/>
  <c r="DE26" i="1"/>
  <c r="DA26" i="1"/>
  <c r="DB26" i="1"/>
  <c r="DF26" i="1"/>
  <c r="DA55" i="1"/>
  <c r="DE55" i="1"/>
  <c r="DB55" i="1"/>
  <c r="DF55" i="1"/>
  <c r="DD55" i="1"/>
  <c r="DC55" i="1"/>
  <c r="DA231" i="1"/>
  <c r="DE231" i="1"/>
  <c r="DF231" i="1"/>
  <c r="DB231" i="1"/>
  <c r="DC231" i="1"/>
  <c r="DD231" i="1"/>
  <c r="DA249" i="1"/>
  <c r="DE249" i="1"/>
  <c r="DD249" i="1"/>
  <c r="DF249" i="1"/>
  <c r="DB249" i="1"/>
  <c r="DC249" i="1"/>
  <c r="CX139" i="1"/>
  <c r="DA139" i="1"/>
  <c r="DE139" i="1"/>
  <c r="DB139" i="1"/>
  <c r="DC139" i="1"/>
  <c r="DD139" i="1"/>
  <c r="DF139" i="1"/>
  <c r="DA268" i="1"/>
  <c r="DE268" i="1"/>
  <c r="DB268" i="1"/>
  <c r="DD268" i="1"/>
  <c r="DC268" i="1"/>
  <c r="DF268" i="1"/>
  <c r="DC126" i="1"/>
  <c r="DE126" i="1"/>
  <c r="DA126" i="1"/>
  <c r="DF126" i="1"/>
  <c r="DB126" i="1"/>
  <c r="DD126" i="1"/>
  <c r="DA179" i="1"/>
  <c r="DE179" i="1"/>
  <c r="DC179" i="1"/>
  <c r="DF179" i="1"/>
  <c r="DD179" i="1"/>
  <c r="DB179" i="1"/>
  <c r="DA103" i="1"/>
  <c r="DE103" i="1"/>
  <c r="DD103" i="1"/>
  <c r="DF103" i="1"/>
  <c r="DB103" i="1"/>
  <c r="DC103" i="1"/>
  <c r="DC180" i="1"/>
  <c r="DA180" i="1"/>
  <c r="DF180" i="1"/>
  <c r="DB180" i="1"/>
  <c r="DD180" i="1"/>
  <c r="DE180" i="1"/>
  <c r="DA213" i="1"/>
  <c r="DE213" i="1"/>
  <c r="DB213" i="1"/>
  <c r="DD213" i="1"/>
  <c r="DC213" i="1"/>
  <c r="DF213" i="1"/>
  <c r="DA149" i="1"/>
  <c r="DE149" i="1"/>
  <c r="DF149" i="1"/>
  <c r="DB149" i="1"/>
  <c r="DC149" i="1"/>
  <c r="DD149" i="1"/>
  <c r="DC188" i="1"/>
  <c r="DB188" i="1"/>
  <c r="DE188" i="1"/>
  <c r="DD188" i="1"/>
  <c r="DA188" i="1"/>
  <c r="DF188" i="1"/>
  <c r="DA117" i="1"/>
  <c r="DE117" i="1"/>
  <c r="DF117" i="1"/>
  <c r="DB117" i="1"/>
  <c r="DC117" i="1"/>
  <c r="DD117" i="1"/>
  <c r="DC106" i="1"/>
  <c r="DB106" i="1"/>
  <c r="DD106" i="1"/>
  <c r="DE106" i="1"/>
  <c r="DA106" i="1"/>
  <c r="DF106" i="1"/>
  <c r="DC18" i="1"/>
  <c r="DD18" i="1"/>
  <c r="DE18" i="1"/>
  <c r="DB18" i="1"/>
  <c r="DF18" i="1"/>
  <c r="DA18" i="1"/>
  <c r="DC60" i="1"/>
  <c r="DD60" i="1"/>
  <c r="DA60" i="1"/>
  <c r="DF60" i="1"/>
  <c r="DB60" i="1"/>
  <c r="DE60" i="1"/>
  <c r="DC36" i="1"/>
  <c r="DD36" i="1"/>
  <c r="DA36" i="1"/>
  <c r="DB36" i="1"/>
  <c r="DE36" i="1"/>
  <c r="DF36" i="1"/>
  <c r="DC120" i="1"/>
  <c r="DD120" i="1"/>
  <c r="DA120" i="1"/>
  <c r="DE120" i="1"/>
  <c r="DB120" i="1"/>
  <c r="DF120" i="1"/>
  <c r="DC176" i="1"/>
  <c r="DD176" i="1"/>
  <c r="DA176" i="1"/>
  <c r="DE176" i="1"/>
  <c r="DB176" i="1"/>
  <c r="DF176" i="1"/>
  <c r="DA37" i="1"/>
  <c r="DE37" i="1"/>
  <c r="DB37" i="1"/>
  <c r="DF37" i="1"/>
  <c r="DC37" i="1"/>
  <c r="DD37" i="1"/>
  <c r="DA243" i="1"/>
  <c r="DE243" i="1"/>
  <c r="DC243" i="1"/>
  <c r="DD243" i="1"/>
  <c r="DF243" i="1"/>
  <c r="DB243" i="1"/>
  <c r="DC212" i="1"/>
  <c r="DB212" i="1"/>
  <c r="DD212" i="1"/>
  <c r="DE212" i="1"/>
  <c r="DF212" i="1"/>
  <c r="DA212" i="1"/>
  <c r="DA90" i="1"/>
  <c r="DE90" i="1"/>
  <c r="DB90" i="1"/>
  <c r="DF90" i="1"/>
  <c r="DC90" i="1"/>
  <c r="DD90" i="1"/>
  <c r="DA227" i="1"/>
  <c r="DE227" i="1"/>
  <c r="DC227" i="1"/>
  <c r="DD227" i="1"/>
  <c r="DF227" i="1"/>
  <c r="DB227" i="1"/>
  <c r="DA203" i="1"/>
  <c r="DE203" i="1"/>
  <c r="DC203" i="1"/>
  <c r="DF203" i="1"/>
  <c r="DD203" i="1"/>
  <c r="DB203" i="1"/>
  <c r="DA141" i="1"/>
  <c r="DE141" i="1"/>
  <c r="DF141" i="1"/>
  <c r="DB141" i="1"/>
  <c r="DC141" i="1"/>
  <c r="DD141" i="1"/>
  <c r="DA41" i="1"/>
  <c r="DE41" i="1"/>
  <c r="DB41" i="1"/>
  <c r="DF41" i="1"/>
  <c r="DC41" i="1"/>
  <c r="DD41" i="1"/>
  <c r="DC192" i="1"/>
  <c r="DE192" i="1"/>
  <c r="DB192" i="1"/>
  <c r="DA192" i="1"/>
  <c r="DF192" i="1"/>
  <c r="DD192" i="1"/>
  <c r="DA169" i="1"/>
  <c r="DE169" i="1"/>
  <c r="DB169" i="1"/>
  <c r="DF169" i="1"/>
  <c r="DC169" i="1"/>
  <c r="DD169" i="1"/>
  <c r="DC224" i="1"/>
  <c r="DE224" i="1"/>
  <c r="DB224" i="1"/>
  <c r="DA224" i="1"/>
  <c r="DF224" i="1"/>
  <c r="DD224" i="1"/>
  <c r="DC216" i="1"/>
  <c r="DE216" i="1"/>
  <c r="DA216" i="1"/>
  <c r="DF216" i="1"/>
  <c r="DB216" i="1"/>
  <c r="DD216" i="1"/>
  <c r="DA137" i="1"/>
  <c r="DE137" i="1"/>
  <c r="DC137" i="1"/>
  <c r="DD137" i="1"/>
  <c r="DF137" i="1"/>
  <c r="DB137" i="1"/>
  <c r="DA223" i="1"/>
  <c r="DE223" i="1"/>
  <c r="DF223" i="1"/>
  <c r="DB223" i="1"/>
  <c r="DC223" i="1"/>
  <c r="DD223" i="1"/>
  <c r="DA105" i="1"/>
  <c r="DE105" i="1"/>
  <c r="DC105" i="1"/>
  <c r="DD105" i="1"/>
  <c r="DF105" i="1"/>
  <c r="DB105" i="1"/>
  <c r="DC164" i="1"/>
  <c r="DD164" i="1"/>
  <c r="DA164" i="1"/>
  <c r="DE164" i="1"/>
  <c r="DB164" i="1"/>
  <c r="DF164" i="1"/>
  <c r="DC44" i="1"/>
  <c r="DD44" i="1"/>
  <c r="DA44" i="1"/>
  <c r="DF44" i="1"/>
  <c r="DB44" i="1"/>
  <c r="DE44" i="1"/>
  <c r="DC108" i="1"/>
  <c r="DA108" i="1"/>
  <c r="DF108" i="1"/>
  <c r="DB108" i="1"/>
  <c r="DD108" i="1"/>
  <c r="DE108" i="1"/>
  <c r="DC168" i="1"/>
  <c r="DD168" i="1"/>
  <c r="DA168" i="1"/>
  <c r="DE168" i="1"/>
  <c r="DB168" i="1"/>
  <c r="DF168" i="1"/>
  <c r="DA259" i="1"/>
  <c r="DE259" i="1"/>
  <c r="DC259" i="1"/>
  <c r="DD259" i="1"/>
  <c r="DF259" i="1"/>
  <c r="DB259" i="1"/>
  <c r="DC82" i="1"/>
  <c r="DB82" i="1"/>
  <c r="DD82" i="1"/>
  <c r="DE82" i="1"/>
  <c r="DF82" i="1"/>
  <c r="DA82" i="1"/>
  <c r="DC163" i="1"/>
  <c r="DB163" i="1"/>
  <c r="DD163" i="1"/>
  <c r="DE163" i="1"/>
  <c r="DA163" i="1"/>
  <c r="DF163" i="1"/>
  <c r="DC50" i="1"/>
  <c r="DD50" i="1"/>
  <c r="DE50" i="1"/>
  <c r="DB50" i="1"/>
  <c r="DF50" i="1"/>
  <c r="DA50" i="1"/>
  <c r="DA115" i="1"/>
  <c r="DE115" i="1"/>
  <c r="DB115" i="1"/>
  <c r="DC115" i="1"/>
  <c r="DD115" i="1"/>
  <c r="DF115" i="1"/>
  <c r="DA123" i="1"/>
  <c r="DE123" i="1"/>
  <c r="DB123" i="1"/>
  <c r="DC123" i="1"/>
  <c r="DD123" i="1"/>
  <c r="DF123" i="1"/>
  <c r="DA45" i="1"/>
  <c r="DE45" i="1"/>
  <c r="DB45" i="1"/>
  <c r="DF45" i="1"/>
  <c r="DC45" i="1"/>
  <c r="DD45" i="1"/>
  <c r="DC148" i="1"/>
  <c r="DA148" i="1"/>
  <c r="DF148" i="1"/>
  <c r="DB148" i="1"/>
  <c r="DD148" i="1"/>
  <c r="DE148" i="1"/>
  <c r="DA253" i="1"/>
  <c r="DE253" i="1"/>
  <c r="DB253" i="1"/>
  <c r="DD253" i="1"/>
  <c r="DC253" i="1"/>
  <c r="DF253" i="1"/>
  <c r="DC244" i="1"/>
  <c r="DB244" i="1"/>
  <c r="DE244" i="1"/>
  <c r="DD244" i="1"/>
  <c r="DF244" i="1"/>
  <c r="DA244" i="1"/>
  <c r="DA125" i="1"/>
  <c r="DE125" i="1"/>
  <c r="DF125" i="1"/>
  <c r="DB125" i="1"/>
  <c r="DC125" i="1"/>
  <c r="DD125" i="1"/>
  <c r="DA121" i="1"/>
  <c r="DE121" i="1"/>
  <c r="DB121" i="1"/>
  <c r="DC121" i="1"/>
  <c r="DD121" i="1"/>
  <c r="DF121" i="1"/>
  <c r="DA185" i="1"/>
  <c r="DE185" i="1"/>
  <c r="DD185" i="1"/>
  <c r="DB185" i="1"/>
  <c r="DF185" i="1"/>
  <c r="DC185" i="1"/>
  <c r="DA70" i="1"/>
  <c r="DE70" i="1"/>
  <c r="DC70" i="1"/>
  <c r="DD70" i="1"/>
  <c r="DF70" i="1"/>
  <c r="DB70" i="1"/>
  <c r="DC146" i="1"/>
  <c r="DB146" i="1"/>
  <c r="DD146" i="1"/>
  <c r="DE146" i="1"/>
  <c r="DF146" i="1"/>
  <c r="DA146" i="1"/>
  <c r="DC78" i="1"/>
  <c r="DE78" i="1"/>
  <c r="DA78" i="1"/>
  <c r="DF78" i="1"/>
  <c r="DB78" i="1"/>
  <c r="DD78" i="1"/>
  <c r="DA205" i="1"/>
  <c r="DE205" i="1"/>
  <c r="DB205" i="1"/>
  <c r="DD205" i="1"/>
  <c r="DC205" i="1"/>
  <c r="DF205" i="1"/>
  <c r="DC19" i="1"/>
  <c r="DD19" i="1"/>
  <c r="DA19" i="1"/>
  <c r="DF19" i="1"/>
  <c r="DE19" i="1"/>
  <c r="DB19" i="1"/>
  <c r="DA187" i="1"/>
  <c r="DE187" i="1"/>
  <c r="DC187" i="1"/>
  <c r="DF187" i="1"/>
  <c r="DD187" i="1"/>
  <c r="DB187" i="1"/>
  <c r="DA17" i="1"/>
  <c r="DE17" i="1"/>
  <c r="DB17" i="1"/>
  <c r="DF17" i="1"/>
  <c r="DC17" i="1"/>
  <c r="DD17" i="1"/>
  <c r="DC94" i="1"/>
  <c r="DE94" i="1"/>
  <c r="DA94" i="1"/>
  <c r="DF94" i="1"/>
  <c r="DB94" i="1"/>
  <c r="DD94" i="1"/>
  <c r="DC80" i="1"/>
  <c r="DD80" i="1"/>
  <c r="DE80" i="1"/>
  <c r="DF80" i="1"/>
  <c r="DA80" i="1"/>
  <c r="DB80" i="1"/>
  <c r="DA39" i="1"/>
  <c r="DE39" i="1"/>
  <c r="DB39" i="1"/>
  <c r="DF39" i="1"/>
  <c r="DD39" i="1"/>
  <c r="DC39" i="1"/>
  <c r="DA193" i="1"/>
  <c r="DE193" i="1"/>
  <c r="DD193" i="1"/>
  <c r="DB193" i="1"/>
  <c r="DF193" i="1"/>
  <c r="DC193" i="1"/>
  <c r="DC220" i="1"/>
  <c r="DB220" i="1"/>
  <c r="DE220" i="1"/>
  <c r="DD220" i="1"/>
  <c r="DA220" i="1"/>
  <c r="DF220" i="1"/>
  <c r="DC89" i="1"/>
  <c r="DB89" i="1"/>
  <c r="DD89" i="1"/>
  <c r="DE89" i="1"/>
  <c r="DF89" i="1"/>
  <c r="DA89" i="1"/>
  <c r="DC254" i="1"/>
  <c r="DA254" i="1"/>
  <c r="DF254" i="1"/>
  <c r="DB254" i="1"/>
  <c r="DD254" i="1"/>
  <c r="DE254" i="1"/>
  <c r="CY242" i="1"/>
  <c r="DA83" i="1"/>
  <c r="DE83" i="1"/>
  <c r="DB83" i="1"/>
  <c r="DC83" i="1"/>
  <c r="DD83" i="1"/>
  <c r="DF83" i="1"/>
  <c r="DC84" i="1"/>
  <c r="DA84" i="1"/>
  <c r="DF84" i="1"/>
  <c r="DB84" i="1"/>
  <c r="DD84" i="1"/>
  <c r="DE84" i="1"/>
  <c r="DC228" i="1"/>
  <c r="DB228" i="1"/>
  <c r="DE228" i="1"/>
  <c r="DD228" i="1"/>
  <c r="DF228" i="1"/>
  <c r="DA228" i="1"/>
  <c r="DC174" i="1"/>
  <c r="DD174" i="1"/>
  <c r="DE174" i="1"/>
  <c r="DA174" i="1"/>
  <c r="DF174" i="1"/>
  <c r="DB174" i="1"/>
  <c r="DC170" i="1"/>
  <c r="DD170" i="1"/>
  <c r="DE170" i="1"/>
  <c r="DA170" i="1"/>
  <c r="DF170" i="1"/>
  <c r="DB170" i="1"/>
  <c r="DC98" i="1"/>
  <c r="DB98" i="1"/>
  <c r="DD98" i="1"/>
  <c r="DE98" i="1"/>
  <c r="DF98" i="1"/>
  <c r="DA98" i="1"/>
  <c r="DA195" i="1"/>
  <c r="DE195" i="1"/>
  <c r="DC195" i="1"/>
  <c r="DF195" i="1"/>
  <c r="DD195" i="1"/>
  <c r="DB195" i="1"/>
  <c r="DA14" i="1"/>
  <c r="DE14" i="1"/>
  <c r="DD14" i="1"/>
  <c r="DF14" i="1"/>
  <c r="DB14" i="1"/>
  <c r="DC14" i="1"/>
  <c r="DA263" i="1"/>
  <c r="DE263" i="1"/>
  <c r="DF263" i="1"/>
  <c r="DB263" i="1"/>
  <c r="DC263" i="1"/>
  <c r="DD263" i="1"/>
  <c r="DA225" i="1"/>
  <c r="DE225" i="1"/>
  <c r="DD225" i="1"/>
  <c r="DF225" i="1"/>
  <c r="DB225" i="1"/>
  <c r="DC225" i="1"/>
  <c r="DA81" i="1"/>
  <c r="DE81" i="1"/>
  <c r="DC81" i="1"/>
  <c r="DD81" i="1"/>
  <c r="DF81" i="1"/>
  <c r="DB81" i="1"/>
  <c r="DC72" i="1"/>
  <c r="DD72" i="1"/>
  <c r="DE72" i="1"/>
  <c r="DA72" i="1"/>
  <c r="DF72" i="1"/>
  <c r="DB72" i="1"/>
  <c r="DC204" i="1"/>
  <c r="DB204" i="1"/>
  <c r="DD204" i="1"/>
  <c r="DE204" i="1"/>
  <c r="DA204" i="1"/>
  <c r="DF204" i="1"/>
  <c r="DC150" i="1"/>
  <c r="DE150" i="1"/>
  <c r="DA150" i="1"/>
  <c r="DF150" i="1"/>
  <c r="DB150" i="1"/>
  <c r="DD150" i="1"/>
  <c r="DA173" i="1"/>
  <c r="DE173" i="1"/>
  <c r="DB173" i="1"/>
  <c r="DF173" i="1"/>
  <c r="DC173" i="1"/>
  <c r="DD173" i="1"/>
  <c r="DC226" i="1"/>
  <c r="DD226" i="1"/>
  <c r="DA226" i="1"/>
  <c r="DF226" i="1"/>
  <c r="DE226" i="1"/>
  <c r="DB226" i="1"/>
  <c r="DC138" i="1"/>
  <c r="DB138" i="1"/>
  <c r="DD138" i="1"/>
  <c r="DE138" i="1"/>
  <c r="DA138" i="1"/>
  <c r="DF138" i="1"/>
  <c r="DC52" i="1"/>
  <c r="DD52" i="1"/>
  <c r="DA52" i="1"/>
  <c r="DB52" i="1"/>
  <c r="DE52" i="1"/>
  <c r="DF52" i="1"/>
  <c r="DA175" i="1"/>
  <c r="DE175" i="1"/>
  <c r="DB175" i="1"/>
  <c r="DF175" i="1"/>
  <c r="DC175" i="1"/>
  <c r="DD175" i="1"/>
  <c r="DG140" i="1"/>
  <c r="DC140" i="1"/>
  <c r="DA140" i="1"/>
  <c r="DF140" i="1"/>
  <c r="DB140" i="1"/>
  <c r="DD140" i="1"/>
  <c r="DE140" i="1"/>
  <c r="DD66" i="1"/>
  <c r="DB66" i="1"/>
  <c r="DA66" i="1"/>
  <c r="DC66" i="1"/>
  <c r="DE66" i="1"/>
  <c r="DF66" i="1"/>
  <c r="DC194" i="1"/>
  <c r="DD194" i="1"/>
  <c r="DF194" i="1"/>
  <c r="DE194" i="1"/>
  <c r="DA194" i="1"/>
  <c r="DB194" i="1"/>
  <c r="DC252" i="1"/>
  <c r="DB252" i="1"/>
  <c r="DD252" i="1"/>
  <c r="DE252" i="1"/>
  <c r="DA252" i="1"/>
  <c r="DF252" i="1"/>
  <c r="DF8" i="1"/>
  <c r="DB8" i="1"/>
  <c r="DC8" i="1"/>
  <c r="DE8" i="1"/>
  <c r="DA8" i="1"/>
  <c r="DD8" i="1"/>
  <c r="CZ194" i="1"/>
  <c r="DI267" i="1"/>
  <c r="DH267" i="1"/>
  <c r="CY52" i="1"/>
  <c r="DG194" i="1"/>
  <c r="DH66" i="1"/>
  <c r="CY252" i="1"/>
  <c r="CY175" i="1"/>
  <c r="CZ66" i="1"/>
  <c r="CX140" i="1"/>
  <c r="CX194" i="1"/>
  <c r="CX52" i="1"/>
  <c r="DI140" i="1"/>
  <c r="DG25" i="1"/>
  <c r="DG52" i="1"/>
  <c r="DI175" i="1"/>
  <c r="CZ175" i="1"/>
  <c r="CY66" i="1"/>
  <c r="CY140" i="1"/>
  <c r="CX252" i="1"/>
  <c r="CY194" i="1"/>
  <c r="CZ52" i="1"/>
  <c r="CY25" i="1"/>
  <c r="DG66" i="1"/>
  <c r="DH252" i="1"/>
  <c r="CY161" i="1"/>
  <c r="CX75" i="1"/>
  <c r="CZ158" i="1"/>
  <c r="DH158" i="1"/>
  <c r="CX242" i="1"/>
  <c r="DG242" i="1"/>
  <c r="CZ242" i="1"/>
  <c r="DI242" i="1"/>
  <c r="DI52" i="1"/>
  <c r="DH140" i="1"/>
  <c r="DH175" i="1"/>
  <c r="DI194" i="1"/>
  <c r="DG252" i="1"/>
  <c r="DH52" i="1"/>
  <c r="DG175" i="1"/>
  <c r="DH194" i="1"/>
  <c r="DI66" i="1"/>
  <c r="DI252" i="1"/>
  <c r="CY160" i="1"/>
  <c r="CZ104" i="1"/>
  <c r="DH182" i="1"/>
  <c r="CY182" i="1"/>
  <c r="DH206" i="1"/>
  <c r="DG104" i="1"/>
  <c r="CZ40" i="1"/>
  <c r="CZ129" i="1"/>
  <c r="CX182" i="1"/>
  <c r="CX25" i="1"/>
  <c r="CY158" i="1"/>
  <c r="CY206" i="1"/>
  <c r="DI25" i="1"/>
  <c r="DG129" i="1"/>
  <c r="DG158" i="1"/>
  <c r="DG40" i="1"/>
  <c r="CZ160" i="1"/>
  <c r="CZ25" i="1"/>
  <c r="CX158" i="1"/>
  <c r="CX104" i="1"/>
  <c r="CX206" i="1"/>
  <c r="DH25" i="1"/>
  <c r="DI158" i="1"/>
  <c r="DG75" i="1"/>
  <c r="CY34" i="1"/>
  <c r="DH34" i="1"/>
  <c r="CX34" i="1"/>
  <c r="CY40" i="1"/>
  <c r="CX160" i="1"/>
  <c r="CY63" i="1"/>
  <c r="DI40" i="1"/>
  <c r="DG63" i="1"/>
  <c r="DG34" i="1"/>
  <c r="CZ34" i="1"/>
  <c r="CX40" i="1"/>
  <c r="CZ182" i="1"/>
  <c r="CY104" i="1"/>
  <c r="CZ206" i="1"/>
  <c r="DI182" i="1"/>
  <c r="DG160" i="1"/>
  <c r="DI34" i="1"/>
  <c r="DI104" i="1"/>
  <c r="CZ139" i="1"/>
  <c r="DG139" i="1"/>
  <c r="DH48" i="1"/>
  <c r="CY48" i="1"/>
  <c r="DG10" i="1"/>
  <c r="CX48" i="1"/>
  <c r="CY139" i="1"/>
  <c r="CX63" i="1"/>
  <c r="DI139" i="1"/>
  <c r="DI63" i="1"/>
  <c r="DI48" i="1"/>
  <c r="CZ63" i="1"/>
  <c r="DH139" i="1"/>
  <c r="DH63" i="1"/>
  <c r="DG48" i="1"/>
  <c r="DG206" i="1"/>
  <c r="DH10" i="1"/>
  <c r="DI160" i="1"/>
  <c r="CX10" i="1"/>
  <c r="CY10" i="1"/>
  <c r="CZ48" i="1"/>
  <c r="DI206" i="1"/>
  <c r="DI10" i="1"/>
  <c r="DH160" i="1"/>
  <c r="DH104" i="1"/>
  <c r="CY129" i="1"/>
  <c r="CX161" i="1"/>
  <c r="CZ197" i="1"/>
  <c r="CZ75" i="1"/>
  <c r="DI129" i="1"/>
  <c r="DH161" i="1"/>
  <c r="DH197" i="1"/>
  <c r="DI75" i="1"/>
  <c r="CY197" i="1"/>
  <c r="DH129" i="1"/>
  <c r="DI161" i="1"/>
  <c r="DI197" i="1"/>
  <c r="DH75" i="1"/>
  <c r="CX129" i="1"/>
  <c r="CZ161" i="1"/>
  <c r="CX197" i="1"/>
  <c r="DG197" i="1"/>
  <c r="CX172" i="1"/>
  <c r="CZ138" i="1"/>
  <c r="CY135" i="1"/>
  <c r="CY14" i="1"/>
  <c r="CZ81" i="1"/>
  <c r="CZ150" i="1"/>
  <c r="CY173" i="1"/>
  <c r="CX138" i="1"/>
  <c r="CY138" i="1"/>
  <c r="DH270" i="1"/>
  <c r="DI270" i="1"/>
  <c r="DG270" i="1"/>
  <c r="DG20" i="1"/>
  <c r="DH20" i="1"/>
  <c r="DI20" i="1"/>
  <c r="DG74" i="1"/>
  <c r="DH74" i="1"/>
  <c r="DI74" i="1"/>
  <c r="DH109" i="1"/>
  <c r="DI109" i="1"/>
  <c r="DG109" i="1"/>
  <c r="DG92" i="1"/>
  <c r="DH92" i="1"/>
  <c r="DI92" i="1"/>
  <c r="DH111" i="1"/>
  <c r="DI111" i="1"/>
  <c r="DG111" i="1"/>
  <c r="DG136" i="1"/>
  <c r="DH136" i="1"/>
  <c r="DI136" i="1"/>
  <c r="DH256" i="1"/>
  <c r="DI256" i="1"/>
  <c r="DG256" i="1"/>
  <c r="DH45" i="1"/>
  <c r="DI45" i="1"/>
  <c r="DG45" i="1"/>
  <c r="DH125" i="1"/>
  <c r="DI125" i="1"/>
  <c r="DG125" i="1"/>
  <c r="DH70" i="1"/>
  <c r="DI70" i="1"/>
  <c r="DG70" i="1"/>
  <c r="DG78" i="1"/>
  <c r="DH78" i="1"/>
  <c r="DI78" i="1"/>
  <c r="DG187" i="1"/>
  <c r="DH187" i="1"/>
  <c r="DI187" i="1"/>
  <c r="DH17" i="1"/>
  <c r="DI17" i="1"/>
  <c r="DG17" i="1"/>
  <c r="DH39" i="1"/>
  <c r="DI39" i="1"/>
  <c r="DG39" i="1"/>
  <c r="DH220" i="1"/>
  <c r="DI220" i="1"/>
  <c r="DG220" i="1"/>
  <c r="DG8" i="1"/>
  <c r="DH8" i="1"/>
  <c r="DI8" i="1"/>
  <c r="DG144" i="1"/>
  <c r="DH144" i="1"/>
  <c r="DI144" i="1"/>
  <c r="DH71" i="1"/>
  <c r="DI71" i="1"/>
  <c r="DG71" i="1"/>
  <c r="DH107" i="1"/>
  <c r="DI107" i="1"/>
  <c r="DG107" i="1"/>
  <c r="DH255" i="1"/>
  <c r="DI255" i="1"/>
  <c r="DG255" i="1"/>
  <c r="DH135" i="1"/>
  <c r="DI135" i="1"/>
  <c r="DG135" i="1"/>
  <c r="DH178" i="1"/>
  <c r="DI178" i="1"/>
  <c r="DG178" i="1"/>
  <c r="DG116" i="1"/>
  <c r="DH116" i="1"/>
  <c r="DI116" i="1"/>
  <c r="DH21" i="1"/>
  <c r="DI21" i="1"/>
  <c r="DG21" i="1"/>
  <c r="DH218" i="1"/>
  <c r="DI218" i="1"/>
  <c r="DG218" i="1"/>
  <c r="DG12" i="1"/>
  <c r="DH12" i="1"/>
  <c r="DI12" i="1"/>
  <c r="DH260" i="1"/>
  <c r="DI260" i="1"/>
  <c r="DG260" i="1"/>
  <c r="DG30" i="1"/>
  <c r="DH30" i="1"/>
  <c r="DI30" i="1"/>
  <c r="DG159" i="1"/>
  <c r="DH159" i="1"/>
  <c r="DI159" i="1"/>
  <c r="DH246" i="1"/>
  <c r="DI246" i="1"/>
  <c r="DG246" i="1"/>
  <c r="DG201" i="1"/>
  <c r="DI201" i="1"/>
  <c r="DH201" i="1"/>
  <c r="DH31" i="1"/>
  <c r="DI31" i="1"/>
  <c r="DG31" i="1"/>
  <c r="DH15" i="1"/>
  <c r="DI15" i="1"/>
  <c r="DG15" i="1"/>
  <c r="DH43" i="1"/>
  <c r="DI43" i="1"/>
  <c r="DG43" i="1"/>
  <c r="DG102" i="1"/>
  <c r="DH102" i="1"/>
  <c r="DI102" i="1"/>
  <c r="DG217" i="1"/>
  <c r="DI217" i="1"/>
  <c r="DH217" i="1"/>
  <c r="DG235" i="1"/>
  <c r="DH235" i="1"/>
  <c r="DI235" i="1"/>
  <c r="DH33" i="1"/>
  <c r="DI33" i="1"/>
  <c r="DG33" i="1"/>
  <c r="DG157" i="1"/>
  <c r="DI157" i="1"/>
  <c r="DH157" i="1"/>
  <c r="DH196" i="1"/>
  <c r="DI196" i="1"/>
  <c r="DG196" i="1"/>
  <c r="DG32" i="1"/>
  <c r="DH32" i="1"/>
  <c r="DI32" i="1"/>
  <c r="DH238" i="1"/>
  <c r="DI238" i="1"/>
  <c r="DG238" i="1"/>
  <c r="DG28" i="1"/>
  <c r="DH28" i="1"/>
  <c r="DI28" i="1"/>
  <c r="DH230" i="1"/>
  <c r="DI230" i="1"/>
  <c r="DG230" i="1"/>
  <c r="DH147" i="1"/>
  <c r="DI147" i="1"/>
  <c r="DG147" i="1"/>
  <c r="DG88" i="1"/>
  <c r="DI88" i="1"/>
  <c r="DH88" i="1"/>
  <c r="DH240" i="1"/>
  <c r="DI240" i="1"/>
  <c r="DG240" i="1"/>
  <c r="DH145" i="1"/>
  <c r="DI145" i="1"/>
  <c r="DG145" i="1"/>
  <c r="DH91" i="1"/>
  <c r="DI91" i="1"/>
  <c r="DG91" i="1"/>
  <c r="DH59" i="1"/>
  <c r="DI59" i="1"/>
  <c r="DG59" i="1"/>
  <c r="DG152" i="1"/>
  <c r="DH152" i="1"/>
  <c r="DI152" i="1"/>
  <c r="DG46" i="1"/>
  <c r="DH46" i="1"/>
  <c r="DI46" i="1"/>
  <c r="DG122" i="1"/>
  <c r="DH122" i="1"/>
  <c r="DI122" i="1"/>
  <c r="DH99" i="1"/>
  <c r="DI99" i="1"/>
  <c r="DG99" i="1"/>
  <c r="DG241" i="1"/>
  <c r="DI241" i="1"/>
  <c r="DH241" i="1"/>
  <c r="DG229" i="1"/>
  <c r="DI229" i="1"/>
  <c r="DH229" i="1"/>
  <c r="DG215" i="1"/>
  <c r="DH215" i="1"/>
  <c r="DI215" i="1"/>
  <c r="DG239" i="1"/>
  <c r="DH239" i="1"/>
  <c r="DI239" i="1"/>
  <c r="DG16" i="1"/>
  <c r="DH16" i="1"/>
  <c r="DI16" i="1"/>
  <c r="DG24" i="1"/>
  <c r="DH24" i="1"/>
  <c r="DI24" i="1"/>
  <c r="DG184" i="1"/>
  <c r="DH184" i="1"/>
  <c r="DI184" i="1"/>
  <c r="DG221" i="1"/>
  <c r="DI221" i="1"/>
  <c r="DH221" i="1"/>
  <c r="DH83" i="1"/>
  <c r="DI83" i="1"/>
  <c r="DG83" i="1"/>
  <c r="DG84" i="1"/>
  <c r="DH84" i="1"/>
  <c r="DI84" i="1"/>
  <c r="DH228" i="1"/>
  <c r="DI228" i="1"/>
  <c r="DG228" i="1"/>
  <c r="DH174" i="1"/>
  <c r="DI174" i="1"/>
  <c r="DG174" i="1"/>
  <c r="DH170" i="1"/>
  <c r="DI170" i="1"/>
  <c r="DG170" i="1"/>
  <c r="DG98" i="1"/>
  <c r="DH98" i="1"/>
  <c r="DI98" i="1"/>
  <c r="DG195" i="1"/>
  <c r="DH195" i="1"/>
  <c r="DI195" i="1"/>
  <c r="DH14" i="1"/>
  <c r="DI14" i="1"/>
  <c r="DG14" i="1"/>
  <c r="DG263" i="1"/>
  <c r="DH263" i="1"/>
  <c r="DI263" i="1"/>
  <c r="DG225" i="1"/>
  <c r="DI225" i="1"/>
  <c r="DH225" i="1"/>
  <c r="DH81" i="1"/>
  <c r="DI81" i="1"/>
  <c r="DG81" i="1"/>
  <c r="DG72" i="1"/>
  <c r="DI72" i="1"/>
  <c r="DH72" i="1"/>
  <c r="DH204" i="1"/>
  <c r="DI204" i="1"/>
  <c r="DG204" i="1"/>
  <c r="DG150" i="1"/>
  <c r="DI150" i="1"/>
  <c r="DH150" i="1"/>
  <c r="DG173" i="1"/>
  <c r="DI173" i="1"/>
  <c r="DH173" i="1"/>
  <c r="DH226" i="1"/>
  <c r="DI226" i="1"/>
  <c r="DG226" i="1"/>
  <c r="DG138" i="1"/>
  <c r="DI138" i="1"/>
  <c r="DH138" i="1"/>
  <c r="DG219" i="1"/>
  <c r="DH219" i="1"/>
  <c r="DI219" i="1"/>
  <c r="DH87" i="1"/>
  <c r="DI87" i="1"/>
  <c r="DG87" i="1"/>
  <c r="DG86" i="1"/>
  <c r="DH86" i="1"/>
  <c r="DI86" i="1"/>
  <c r="DH53" i="1"/>
  <c r="DI53" i="1"/>
  <c r="DG53" i="1"/>
  <c r="DH93" i="1"/>
  <c r="DI93" i="1"/>
  <c r="DG93" i="1"/>
  <c r="DG253" i="1"/>
  <c r="DI253" i="1"/>
  <c r="DH253" i="1"/>
  <c r="DH121" i="1"/>
  <c r="DI121" i="1"/>
  <c r="DG121" i="1"/>
  <c r="DG205" i="1"/>
  <c r="DI205" i="1"/>
  <c r="DH205" i="1"/>
  <c r="DG80" i="1"/>
  <c r="DI80" i="1"/>
  <c r="DH80" i="1"/>
  <c r="DG89" i="1"/>
  <c r="DH89" i="1"/>
  <c r="DI89" i="1"/>
  <c r="DH262" i="1"/>
  <c r="DI262" i="1"/>
  <c r="DG262" i="1"/>
  <c r="DH7" i="1"/>
  <c r="DI7" i="1"/>
  <c r="DG7" i="1"/>
  <c r="DG211" i="1"/>
  <c r="DH211" i="1"/>
  <c r="DI211" i="1"/>
  <c r="DG126" i="1"/>
  <c r="DI126" i="1"/>
  <c r="DH126" i="1"/>
  <c r="DH103" i="1"/>
  <c r="DI103" i="1"/>
  <c r="DG103" i="1"/>
  <c r="DG96" i="1"/>
  <c r="DI96" i="1"/>
  <c r="DH96" i="1"/>
  <c r="DG153" i="1"/>
  <c r="DH153" i="1"/>
  <c r="DI153" i="1"/>
  <c r="DH73" i="1"/>
  <c r="DI73" i="1"/>
  <c r="DG73" i="1"/>
  <c r="DH120" i="1"/>
  <c r="DI120" i="1"/>
  <c r="DG120" i="1"/>
  <c r="DH176" i="1"/>
  <c r="DI176" i="1"/>
  <c r="DG176" i="1"/>
  <c r="DH27" i="1"/>
  <c r="DI27" i="1"/>
  <c r="DG27" i="1"/>
  <c r="DH214" i="1"/>
  <c r="DI214" i="1"/>
  <c r="DG214" i="1"/>
  <c r="DH9" i="1"/>
  <c r="DI9" i="1"/>
  <c r="DG9" i="1"/>
  <c r="DH265" i="1"/>
  <c r="DI265" i="1"/>
  <c r="DG265" i="1"/>
  <c r="DH61" i="1"/>
  <c r="DI61" i="1"/>
  <c r="DG61" i="1"/>
  <c r="DG62" i="1"/>
  <c r="DH62" i="1"/>
  <c r="DI62" i="1"/>
  <c r="DG65" i="1"/>
  <c r="DH65" i="1"/>
  <c r="DI65" i="1"/>
  <c r="DG114" i="1"/>
  <c r="DI114" i="1"/>
  <c r="DH114" i="1"/>
  <c r="DG245" i="1"/>
  <c r="DI245" i="1"/>
  <c r="DH245" i="1"/>
  <c r="DH119" i="1"/>
  <c r="DI119" i="1"/>
  <c r="DG119" i="1"/>
  <c r="DG128" i="1"/>
  <c r="DH128" i="1"/>
  <c r="DI128" i="1"/>
  <c r="DH23" i="1"/>
  <c r="DI23" i="1"/>
  <c r="DG23" i="1"/>
  <c r="DG207" i="1"/>
  <c r="DH207" i="1"/>
  <c r="DI207" i="1"/>
  <c r="DG22" i="1"/>
  <c r="DH22" i="1"/>
  <c r="DI22" i="1"/>
  <c r="DH57" i="1"/>
  <c r="DI57" i="1"/>
  <c r="DG57" i="1"/>
  <c r="DG167" i="1"/>
  <c r="DH167" i="1"/>
  <c r="DI167" i="1"/>
  <c r="DH200" i="1"/>
  <c r="DI200" i="1"/>
  <c r="DG200" i="1"/>
  <c r="DG100" i="1"/>
  <c r="DH100" i="1"/>
  <c r="DI100" i="1"/>
  <c r="DH51" i="1"/>
  <c r="DI51" i="1"/>
  <c r="DG51" i="1"/>
  <c r="DG266" i="1"/>
  <c r="DH266" i="1"/>
  <c r="DI266" i="1"/>
  <c r="DG130" i="1"/>
  <c r="DI130" i="1"/>
  <c r="DH130" i="1"/>
  <c r="DH101" i="1"/>
  <c r="DI101" i="1"/>
  <c r="DG101" i="1"/>
  <c r="DG64" i="1"/>
  <c r="DI64" i="1"/>
  <c r="DH64" i="1"/>
  <c r="DH85" i="1"/>
  <c r="DI85" i="1"/>
  <c r="DG85" i="1"/>
  <c r="DG257" i="1"/>
  <c r="DI257" i="1"/>
  <c r="DH257" i="1"/>
  <c r="DG26" i="1"/>
  <c r="DH26" i="1"/>
  <c r="DI26" i="1"/>
  <c r="DG264" i="1"/>
  <c r="DI264" i="1"/>
  <c r="DH264" i="1"/>
  <c r="DH236" i="1"/>
  <c r="DI236" i="1"/>
  <c r="DG236" i="1"/>
  <c r="DH55" i="1"/>
  <c r="DI55" i="1"/>
  <c r="DG55" i="1"/>
  <c r="DH77" i="1"/>
  <c r="DI77" i="1"/>
  <c r="DG77" i="1"/>
  <c r="DG231" i="1"/>
  <c r="DH231" i="1"/>
  <c r="DI231" i="1"/>
  <c r="DH162" i="1"/>
  <c r="DI162" i="1"/>
  <c r="DG162" i="1"/>
  <c r="DG249" i="1"/>
  <c r="DI249" i="1"/>
  <c r="DH249" i="1"/>
  <c r="DG171" i="1"/>
  <c r="DH171" i="1"/>
  <c r="DI171" i="1"/>
  <c r="DH155" i="1"/>
  <c r="DI155" i="1"/>
  <c r="DG155" i="1"/>
  <c r="DH69" i="1"/>
  <c r="DI69" i="1"/>
  <c r="DG69" i="1"/>
  <c r="DH154" i="1"/>
  <c r="DI154" i="1"/>
  <c r="DG154" i="1"/>
  <c r="DH166" i="1"/>
  <c r="DI166" i="1"/>
  <c r="DG166" i="1"/>
  <c r="DG58" i="1"/>
  <c r="DH58" i="1"/>
  <c r="DI58" i="1"/>
  <c r="DG186" i="1"/>
  <c r="DH186" i="1"/>
  <c r="DI186" i="1"/>
  <c r="DH208" i="1"/>
  <c r="DI208" i="1"/>
  <c r="DG208" i="1"/>
  <c r="DG189" i="1"/>
  <c r="DI189" i="1"/>
  <c r="DH189" i="1"/>
  <c r="DG148" i="1"/>
  <c r="DH148" i="1"/>
  <c r="DI148" i="1"/>
  <c r="DH244" i="1"/>
  <c r="DI244" i="1"/>
  <c r="DG244" i="1"/>
  <c r="DG185" i="1"/>
  <c r="DI185" i="1"/>
  <c r="DH185" i="1"/>
  <c r="DG146" i="1"/>
  <c r="DI146" i="1"/>
  <c r="DH146" i="1"/>
  <c r="DH19" i="1"/>
  <c r="DI19" i="1"/>
  <c r="DG19" i="1"/>
  <c r="DG94" i="1"/>
  <c r="DH94" i="1"/>
  <c r="DI94" i="1"/>
  <c r="DG193" i="1"/>
  <c r="DI193" i="1"/>
  <c r="DH193" i="1"/>
  <c r="DH254" i="1"/>
  <c r="DI254" i="1"/>
  <c r="DG254" i="1"/>
  <c r="DG54" i="1"/>
  <c r="DH54" i="1"/>
  <c r="DI54" i="1"/>
  <c r="DG68" i="1"/>
  <c r="DH68" i="1"/>
  <c r="DI68" i="1"/>
  <c r="DG199" i="1"/>
  <c r="DH199" i="1"/>
  <c r="DI199" i="1"/>
  <c r="DH29" i="1"/>
  <c r="DI29" i="1"/>
  <c r="DG29" i="1"/>
  <c r="DG269" i="1"/>
  <c r="DH269" i="1"/>
  <c r="DI269" i="1"/>
  <c r="DG165" i="1"/>
  <c r="DI165" i="1"/>
  <c r="DH165" i="1"/>
  <c r="DG183" i="1"/>
  <c r="DH183" i="1"/>
  <c r="DI183" i="1"/>
  <c r="DG237" i="1"/>
  <c r="DI237" i="1"/>
  <c r="DH237" i="1"/>
  <c r="DG268" i="1"/>
  <c r="DI268" i="1"/>
  <c r="DH268" i="1"/>
  <c r="DG76" i="1"/>
  <c r="DH76" i="1"/>
  <c r="DI76" i="1"/>
  <c r="DG179" i="1"/>
  <c r="DH179" i="1"/>
  <c r="DI179" i="1"/>
  <c r="DH248" i="1"/>
  <c r="DI248" i="1"/>
  <c r="DG248" i="1"/>
  <c r="DG180" i="1"/>
  <c r="DH180" i="1"/>
  <c r="DI180" i="1"/>
  <c r="DG213" i="1"/>
  <c r="DI213" i="1"/>
  <c r="DH213" i="1"/>
  <c r="DH149" i="1"/>
  <c r="DI149" i="1"/>
  <c r="DG149" i="1"/>
  <c r="DH188" i="1"/>
  <c r="DI188" i="1"/>
  <c r="DG188" i="1"/>
  <c r="DH117" i="1"/>
  <c r="DI117" i="1"/>
  <c r="DG117" i="1"/>
  <c r="DG106" i="1"/>
  <c r="DH106" i="1"/>
  <c r="DI106" i="1"/>
  <c r="DG18" i="1"/>
  <c r="DH18" i="1"/>
  <c r="DI18" i="1"/>
  <c r="DG60" i="1"/>
  <c r="DH60" i="1"/>
  <c r="DI60" i="1"/>
  <c r="DG36" i="1"/>
  <c r="DH36" i="1"/>
  <c r="DI36" i="1"/>
  <c r="DG142" i="1"/>
  <c r="DI142" i="1"/>
  <c r="DH142" i="1"/>
  <c r="DH191" i="1"/>
  <c r="DI191" i="1"/>
  <c r="DG191" i="1"/>
  <c r="DH131" i="1"/>
  <c r="DI131" i="1"/>
  <c r="DG131" i="1"/>
  <c r="DG203" i="1"/>
  <c r="DH203" i="1"/>
  <c r="DI203" i="1"/>
  <c r="DH141" i="1"/>
  <c r="DI141" i="1"/>
  <c r="DG141" i="1"/>
  <c r="DH41" i="1"/>
  <c r="DI41" i="1"/>
  <c r="DG41" i="1"/>
  <c r="DH192" i="1"/>
  <c r="DI192" i="1"/>
  <c r="DG192" i="1"/>
  <c r="DG169" i="1"/>
  <c r="DI169" i="1"/>
  <c r="DH169" i="1"/>
  <c r="DH224" i="1"/>
  <c r="DI224" i="1"/>
  <c r="DG224" i="1"/>
  <c r="DH216" i="1"/>
  <c r="DI216" i="1"/>
  <c r="DG216" i="1"/>
  <c r="DH137" i="1"/>
  <c r="DI137" i="1"/>
  <c r="DG137" i="1"/>
  <c r="DG223" i="1"/>
  <c r="DH223" i="1"/>
  <c r="DI223" i="1"/>
  <c r="DH105" i="1"/>
  <c r="DI105" i="1"/>
  <c r="DG105" i="1"/>
  <c r="DH164" i="1"/>
  <c r="DI164" i="1"/>
  <c r="DG164" i="1"/>
  <c r="DG44" i="1"/>
  <c r="DH44" i="1"/>
  <c r="DI44" i="1"/>
  <c r="DG108" i="1"/>
  <c r="DH108" i="1"/>
  <c r="DI108" i="1"/>
  <c r="DH168" i="1"/>
  <c r="DI168" i="1"/>
  <c r="DG168" i="1"/>
  <c r="DG259" i="1"/>
  <c r="DH259" i="1"/>
  <c r="DI259" i="1"/>
  <c r="DG82" i="1"/>
  <c r="DH82" i="1"/>
  <c r="DI82" i="1"/>
  <c r="DG163" i="1"/>
  <c r="DH163" i="1"/>
  <c r="DI163" i="1"/>
  <c r="DG50" i="1"/>
  <c r="DH50" i="1"/>
  <c r="DI50" i="1"/>
  <c r="DH115" i="1"/>
  <c r="DI115" i="1"/>
  <c r="DG115" i="1"/>
  <c r="DH123" i="1"/>
  <c r="DI123" i="1"/>
  <c r="DG123" i="1"/>
  <c r="DH37" i="1"/>
  <c r="DI37" i="1"/>
  <c r="DG37" i="1"/>
  <c r="DH143" i="1"/>
  <c r="DI143" i="1"/>
  <c r="DG143" i="1"/>
  <c r="DG243" i="1"/>
  <c r="DH243" i="1"/>
  <c r="DI243" i="1"/>
  <c r="DG233" i="1"/>
  <c r="DI233" i="1"/>
  <c r="DH233" i="1"/>
  <c r="DH212" i="1"/>
  <c r="DI212" i="1"/>
  <c r="DG212" i="1"/>
  <c r="DH133" i="1"/>
  <c r="DI133" i="1"/>
  <c r="DG133" i="1"/>
  <c r="DH90" i="1"/>
  <c r="DI90" i="1"/>
  <c r="DG90" i="1"/>
  <c r="DH97" i="1"/>
  <c r="DI97" i="1"/>
  <c r="DG97" i="1"/>
  <c r="DG227" i="1"/>
  <c r="DH227" i="1"/>
  <c r="DI227" i="1"/>
  <c r="DG271" i="1"/>
  <c r="DI271" i="1"/>
  <c r="DH271" i="1"/>
  <c r="DG110" i="1"/>
  <c r="DH110" i="1"/>
  <c r="DI110" i="1"/>
  <c r="DH222" i="1"/>
  <c r="DI222" i="1"/>
  <c r="DG222" i="1"/>
  <c r="DG67" i="1"/>
  <c r="DI67" i="1"/>
  <c r="DH67" i="1"/>
  <c r="DG134" i="1"/>
  <c r="DI134" i="1"/>
  <c r="DH134" i="1"/>
  <c r="DG42" i="1"/>
  <c r="DH42" i="1"/>
  <c r="DI42" i="1"/>
  <c r="DG132" i="1"/>
  <c r="DH132" i="1"/>
  <c r="DI132" i="1"/>
  <c r="DH11" i="1"/>
  <c r="DI11" i="1"/>
  <c r="DG11" i="1"/>
  <c r="DG118" i="1"/>
  <c r="DH118" i="1"/>
  <c r="DI118" i="1"/>
  <c r="DG38" i="1"/>
  <c r="DH38" i="1"/>
  <c r="DI38" i="1"/>
  <c r="DH232" i="1"/>
  <c r="DI232" i="1"/>
  <c r="DG232" i="1"/>
  <c r="CX135" i="1"/>
  <c r="DG261" i="1"/>
  <c r="DI261" i="1"/>
  <c r="DH261" i="1"/>
  <c r="DH47" i="1"/>
  <c r="DI47" i="1"/>
  <c r="DG47" i="1"/>
  <c r="DG247" i="1"/>
  <c r="DH247" i="1"/>
  <c r="DI247" i="1"/>
  <c r="DG56" i="1"/>
  <c r="DI56" i="1"/>
  <c r="DH56" i="1"/>
  <c r="DH234" i="1"/>
  <c r="DI234" i="1"/>
  <c r="DG234" i="1"/>
  <c r="DH198" i="1"/>
  <c r="DI198" i="1"/>
  <c r="DG198" i="1"/>
  <c r="DG35" i="1"/>
  <c r="DH35" i="1"/>
  <c r="DI35" i="1"/>
  <c r="DG181" i="1"/>
  <c r="DI181" i="1"/>
  <c r="DH181" i="1"/>
  <c r="DH151" i="1"/>
  <c r="DI151" i="1"/>
  <c r="DG151" i="1"/>
  <c r="DH156" i="1"/>
  <c r="DI156" i="1"/>
  <c r="DG156" i="1"/>
  <c r="DG177" i="1"/>
  <c r="DI177" i="1"/>
  <c r="DH177" i="1"/>
  <c r="DH49" i="1"/>
  <c r="DI49" i="1"/>
  <c r="DG49" i="1"/>
  <c r="DG251" i="1"/>
  <c r="DH251" i="1"/>
  <c r="DI251" i="1"/>
  <c r="DG202" i="1"/>
  <c r="DH202" i="1"/>
  <c r="DI202" i="1"/>
  <c r="DH190" i="1"/>
  <c r="DI190" i="1"/>
  <c r="DG190" i="1"/>
  <c r="DH172" i="1"/>
  <c r="DI172" i="1"/>
  <c r="DG172" i="1"/>
  <c r="CY8" i="1"/>
  <c r="CZ29" i="1"/>
  <c r="CZ83" i="1"/>
  <c r="CZ84" i="1"/>
  <c r="CX228" i="1"/>
  <c r="CX174" i="1"/>
  <c r="CX170" i="1"/>
  <c r="CZ98" i="1"/>
  <c r="CX195" i="1"/>
  <c r="CZ14" i="1"/>
  <c r="CZ71" i="1"/>
  <c r="CX269" i="1"/>
  <c r="CZ135" i="1"/>
  <c r="CX266" i="1"/>
  <c r="CY130" i="1"/>
  <c r="CZ64" i="1"/>
  <c r="CY257" i="1"/>
  <c r="CX264" i="1"/>
  <c r="CX231" i="1"/>
  <c r="CX171" i="1"/>
  <c r="CZ7" i="1"/>
  <c r="CX183" i="1"/>
  <c r="CX261" i="1"/>
  <c r="CX247" i="1"/>
  <c r="CX35" i="1"/>
  <c r="CY181" i="1"/>
  <c r="CX151" i="1"/>
  <c r="CX156" i="1"/>
  <c r="CY202" i="1"/>
  <c r="CX190" i="1"/>
  <c r="CY171" i="1"/>
  <c r="CY26" i="1"/>
  <c r="CZ172" i="1"/>
  <c r="CZ249" i="1"/>
  <c r="CX257" i="1"/>
  <c r="CX51" i="1"/>
  <c r="CY85" i="1"/>
  <c r="CZ171" i="1"/>
  <c r="CX162" i="1"/>
  <c r="CZ231" i="1"/>
  <c r="CX236" i="1"/>
  <c r="CX249" i="1"/>
  <c r="CY174" i="1"/>
  <c r="CY71" i="1"/>
  <c r="CX211" i="1"/>
  <c r="CZ130" i="1"/>
  <c r="CY199" i="1"/>
  <c r="CZ54" i="1"/>
  <c r="CZ255" i="1"/>
  <c r="CY68" i="1"/>
  <c r="CX144" i="1"/>
  <c r="CX255" i="1"/>
  <c r="CX165" i="1"/>
  <c r="CX8" i="1"/>
  <c r="CX199" i="1"/>
  <c r="CX7" i="1"/>
  <c r="CX71" i="1"/>
  <c r="CZ183" i="1"/>
  <c r="CZ8" i="1"/>
  <c r="CY255" i="1"/>
  <c r="CZ107" i="1"/>
  <c r="CY183" i="1"/>
  <c r="CY144" i="1"/>
  <c r="CY211" i="1"/>
  <c r="CZ262" i="1"/>
  <c r="CY170" i="1"/>
  <c r="CX81" i="1"/>
  <c r="CZ263" i="1"/>
  <c r="CY263" i="1"/>
  <c r="CZ225" i="1"/>
  <c r="CY225" i="1"/>
  <c r="CZ228" i="1"/>
  <c r="CX204" i="1"/>
  <c r="CY72" i="1"/>
  <c r="CX72" i="1"/>
  <c r="CX226" i="1"/>
  <c r="CX173" i="1"/>
  <c r="CY150" i="1"/>
  <c r="CY81" i="1"/>
  <c r="CX14" i="1"/>
  <c r="CX263" i="1"/>
  <c r="CX225" i="1"/>
  <c r="CY226" i="1"/>
  <c r="CZ226" i="1"/>
  <c r="CY228" i="1"/>
  <c r="CZ204" i="1"/>
  <c r="CY204" i="1"/>
  <c r="CZ72" i="1"/>
  <c r="CZ173" i="1"/>
  <c r="CY195" i="1"/>
  <c r="CX150" i="1"/>
  <c r="CY83" i="1"/>
  <c r="CX202" i="1"/>
  <c r="CX77" i="1"/>
  <c r="CY156" i="1"/>
  <c r="CX198" i="1"/>
  <c r="CY190" i="1"/>
  <c r="CY251" i="1"/>
  <c r="CZ190" i="1"/>
  <c r="CX251" i="1"/>
  <c r="CX68" i="1"/>
  <c r="CY177" i="1"/>
  <c r="CX49" i="1"/>
  <c r="CY107" i="1"/>
  <c r="CX29" i="1"/>
  <c r="CY165" i="1"/>
  <c r="CY262" i="1"/>
  <c r="CZ269" i="1"/>
  <c r="CY269" i="1"/>
  <c r="CZ156" i="1"/>
  <c r="CZ251" i="1"/>
  <c r="CX177" i="1"/>
  <c r="CZ202" i="1"/>
  <c r="CZ199" i="1"/>
  <c r="CY7" i="1"/>
  <c r="CZ177" i="1"/>
  <c r="CZ49" i="1"/>
  <c r="CY49" i="1"/>
  <c r="CX107" i="1"/>
  <c r="CZ165" i="1"/>
  <c r="CZ211" i="1"/>
  <c r="CY231" i="1"/>
  <c r="CZ26" i="1"/>
  <c r="CY236" i="1"/>
  <c r="CY51" i="1"/>
  <c r="CY64" i="1"/>
  <c r="CX64" i="1"/>
  <c r="CZ85" i="1"/>
  <c r="CX130" i="1"/>
  <c r="CY162" i="1"/>
  <c r="CX55" i="1"/>
  <c r="CY77" i="1"/>
  <c r="CZ264" i="1"/>
  <c r="CY264" i="1"/>
  <c r="CZ236" i="1"/>
  <c r="CZ51" i="1"/>
  <c r="CZ266" i="1"/>
  <c r="CY266" i="1"/>
  <c r="CX101" i="1"/>
  <c r="CZ162" i="1"/>
  <c r="CY55" i="1"/>
  <c r="CZ77" i="1"/>
  <c r="CY249" i="1"/>
  <c r="CZ257" i="1"/>
  <c r="CX26" i="1"/>
  <c r="CX85" i="1"/>
  <c r="CZ55" i="1"/>
  <c r="CZ151" i="1"/>
  <c r="CZ247" i="1"/>
  <c r="CZ56" i="1"/>
  <c r="CZ198" i="1"/>
  <c r="CY35" i="1"/>
  <c r="CZ68" i="1"/>
  <c r="CZ181" i="1"/>
  <c r="CY29" i="1"/>
  <c r="CZ144" i="1"/>
  <c r="CX54" i="1"/>
  <c r="CX262" i="1"/>
  <c r="CY54" i="1"/>
  <c r="CY247" i="1"/>
  <c r="CY198" i="1"/>
  <c r="CZ35" i="1"/>
  <c r="CY234" i="1"/>
  <c r="CZ234" i="1"/>
  <c r="CX47" i="1"/>
  <c r="CX56" i="1"/>
  <c r="CX234" i="1"/>
  <c r="CX181" i="1"/>
  <c r="CY151" i="1"/>
  <c r="CY47" i="1"/>
  <c r="CY56" i="1"/>
  <c r="CZ261" i="1"/>
  <c r="CY261" i="1"/>
  <c r="CZ47" i="1"/>
  <c r="CZ195" i="1"/>
  <c r="CZ170" i="1"/>
  <c r="CX83" i="1"/>
  <c r="CY84" i="1"/>
  <c r="CX84" i="1"/>
  <c r="CZ174" i="1"/>
  <c r="CX98" i="1"/>
  <c r="CY98" i="1"/>
  <c r="CX270" i="1"/>
  <c r="CY270" i="1"/>
  <c r="CZ270" i="1"/>
  <c r="CX203" i="1"/>
  <c r="CY203" i="1"/>
  <c r="CZ203" i="1"/>
  <c r="CY141" i="1"/>
  <c r="CZ141" i="1"/>
  <c r="CX141" i="1"/>
  <c r="CX192" i="1"/>
  <c r="CY192" i="1"/>
  <c r="CZ192" i="1"/>
  <c r="CX224" i="1"/>
  <c r="CY224" i="1"/>
  <c r="CZ224" i="1"/>
  <c r="CY137" i="1"/>
  <c r="CZ137" i="1"/>
  <c r="CX137" i="1"/>
  <c r="CZ105" i="1"/>
  <c r="CX105" i="1"/>
  <c r="CY105" i="1"/>
  <c r="CX44" i="1"/>
  <c r="CY44" i="1"/>
  <c r="CZ44" i="1"/>
  <c r="CZ108" i="1"/>
  <c r="CX108" i="1"/>
  <c r="CY108" i="1"/>
  <c r="CY259" i="1"/>
  <c r="CZ259" i="1"/>
  <c r="CX259" i="1"/>
  <c r="CZ163" i="1"/>
  <c r="CX163" i="1"/>
  <c r="CY163" i="1"/>
  <c r="CY115" i="1"/>
  <c r="CZ115" i="1"/>
  <c r="CX115" i="1"/>
  <c r="CY123" i="1"/>
  <c r="CZ123" i="1"/>
  <c r="CX123" i="1"/>
  <c r="CX37" i="1"/>
  <c r="CY37" i="1"/>
  <c r="CZ37" i="1"/>
  <c r="CX243" i="1"/>
  <c r="CZ243" i="1"/>
  <c r="CY243" i="1"/>
  <c r="CX212" i="1"/>
  <c r="CY212" i="1"/>
  <c r="CZ212" i="1"/>
  <c r="CY90" i="1"/>
  <c r="CZ90" i="1"/>
  <c r="CX90" i="1"/>
  <c r="CY271" i="1"/>
  <c r="CX271" i="1"/>
  <c r="CZ271" i="1"/>
  <c r="CX222" i="1"/>
  <c r="CY222" i="1"/>
  <c r="CZ222" i="1"/>
  <c r="CY67" i="1"/>
  <c r="CZ67" i="1"/>
  <c r="CX67" i="1"/>
  <c r="CY132" i="1"/>
  <c r="CZ132" i="1"/>
  <c r="CX132" i="1"/>
  <c r="CY118" i="1"/>
  <c r="CZ118" i="1"/>
  <c r="CX118" i="1"/>
  <c r="CX232" i="1"/>
  <c r="CY232" i="1"/>
  <c r="CZ232" i="1"/>
  <c r="CY20" i="1"/>
  <c r="CZ20" i="1"/>
  <c r="CX20" i="1"/>
  <c r="CX155" i="1"/>
  <c r="CY155" i="1"/>
  <c r="CZ155" i="1"/>
  <c r="CZ74" i="1"/>
  <c r="CX74" i="1"/>
  <c r="CY74" i="1"/>
  <c r="CX219" i="1"/>
  <c r="CY219" i="1"/>
  <c r="CZ219" i="1"/>
  <c r="CZ69" i="1"/>
  <c r="CX69" i="1"/>
  <c r="CY69" i="1"/>
  <c r="CY109" i="1"/>
  <c r="CZ109" i="1"/>
  <c r="CX109" i="1"/>
  <c r="CX154" i="1"/>
  <c r="CY154" i="1"/>
  <c r="CZ154" i="1"/>
  <c r="CZ87" i="1"/>
  <c r="CX87" i="1"/>
  <c r="CY87" i="1"/>
  <c r="CX92" i="1"/>
  <c r="CY92" i="1"/>
  <c r="CZ92" i="1"/>
  <c r="CX166" i="1"/>
  <c r="CY166" i="1"/>
  <c r="CZ166" i="1"/>
  <c r="CZ86" i="1"/>
  <c r="CX86" i="1"/>
  <c r="CY86" i="1"/>
  <c r="CY111" i="1"/>
  <c r="CZ111" i="1"/>
  <c r="CX111" i="1"/>
  <c r="CX58" i="1"/>
  <c r="CY58" i="1"/>
  <c r="CZ58" i="1"/>
  <c r="CX53" i="1"/>
  <c r="CY53" i="1"/>
  <c r="CZ53" i="1"/>
  <c r="CX186" i="1"/>
  <c r="CY136" i="1"/>
  <c r="CZ136" i="1"/>
  <c r="CX136" i="1"/>
  <c r="CX208" i="1"/>
  <c r="CY208" i="1"/>
  <c r="CZ208" i="1"/>
  <c r="CZ93" i="1"/>
  <c r="CX93" i="1"/>
  <c r="CY93" i="1"/>
  <c r="CY256" i="1"/>
  <c r="CZ256" i="1"/>
  <c r="CX256" i="1"/>
  <c r="CX189" i="1"/>
  <c r="CY189" i="1"/>
  <c r="CZ189" i="1"/>
  <c r="CX45" i="1"/>
  <c r="CY45" i="1"/>
  <c r="CZ45" i="1"/>
  <c r="CY148" i="1"/>
  <c r="CZ148" i="1"/>
  <c r="CX148" i="1"/>
  <c r="CY253" i="1"/>
  <c r="CZ253" i="1"/>
  <c r="CX253" i="1"/>
  <c r="CX244" i="1"/>
  <c r="CY244" i="1"/>
  <c r="CZ244" i="1"/>
  <c r="CY125" i="1"/>
  <c r="CZ125" i="1"/>
  <c r="CX125" i="1"/>
  <c r="CZ121" i="1"/>
  <c r="CX121" i="1"/>
  <c r="CY121" i="1"/>
  <c r="CX185" i="1"/>
  <c r="CY185" i="1"/>
  <c r="CZ185" i="1"/>
  <c r="CY70" i="1"/>
  <c r="CZ70" i="1"/>
  <c r="CX70" i="1"/>
  <c r="CY146" i="1"/>
  <c r="CZ146" i="1"/>
  <c r="CX146" i="1"/>
  <c r="CZ78" i="1"/>
  <c r="CX78" i="1"/>
  <c r="CY78" i="1"/>
  <c r="CX205" i="1"/>
  <c r="CY205" i="1"/>
  <c r="CZ205" i="1"/>
  <c r="CX19" i="1"/>
  <c r="CY19" i="1"/>
  <c r="CZ19" i="1"/>
  <c r="CX187" i="1"/>
  <c r="CY187" i="1"/>
  <c r="CZ187" i="1"/>
  <c r="CY17" i="1"/>
  <c r="CZ17" i="1"/>
  <c r="CX17" i="1"/>
  <c r="CZ94" i="1"/>
  <c r="CX94" i="1"/>
  <c r="CY94" i="1"/>
  <c r="CZ80" i="1"/>
  <c r="CX80" i="1"/>
  <c r="CY80" i="1"/>
  <c r="CX39" i="1"/>
  <c r="CY39" i="1"/>
  <c r="CZ39" i="1"/>
  <c r="CX193" i="1"/>
  <c r="CY193" i="1"/>
  <c r="CZ193" i="1"/>
  <c r="CX220" i="1"/>
  <c r="CY220" i="1"/>
  <c r="CZ220" i="1"/>
  <c r="CY89" i="1"/>
  <c r="CZ89" i="1"/>
  <c r="CX89" i="1"/>
  <c r="CY254" i="1"/>
  <c r="CZ254" i="1"/>
  <c r="CX254" i="1"/>
  <c r="CX178" i="1"/>
  <c r="CY178" i="1"/>
  <c r="CZ178" i="1"/>
  <c r="CY21" i="1"/>
  <c r="CZ21" i="1"/>
  <c r="CX21" i="1"/>
  <c r="CY260" i="1"/>
  <c r="CX260" i="1"/>
  <c r="CZ260" i="1"/>
  <c r="CX159" i="1"/>
  <c r="CY159" i="1"/>
  <c r="CZ159" i="1"/>
  <c r="CX201" i="1"/>
  <c r="CY201" i="1"/>
  <c r="CZ201" i="1"/>
  <c r="CX43" i="1"/>
  <c r="CY43" i="1"/>
  <c r="CZ43" i="1"/>
  <c r="CX217" i="1"/>
  <c r="CY217" i="1"/>
  <c r="CZ217" i="1"/>
  <c r="CY33" i="1"/>
  <c r="CZ33" i="1"/>
  <c r="CX33" i="1"/>
  <c r="CX196" i="1"/>
  <c r="CY196" i="1"/>
  <c r="CZ196" i="1"/>
  <c r="CY28" i="1"/>
  <c r="CZ28" i="1"/>
  <c r="CX28" i="1"/>
  <c r="CY147" i="1"/>
  <c r="CZ147" i="1"/>
  <c r="CX147" i="1"/>
  <c r="CZ91" i="1"/>
  <c r="CX91" i="1"/>
  <c r="CY91" i="1"/>
  <c r="CX46" i="1"/>
  <c r="CY46" i="1"/>
  <c r="CZ46" i="1"/>
  <c r="CX241" i="1"/>
  <c r="CY241" i="1"/>
  <c r="CZ241" i="1"/>
  <c r="CX239" i="1"/>
  <c r="CZ239" i="1"/>
  <c r="CY239" i="1"/>
  <c r="CX221" i="1"/>
  <c r="CY221" i="1"/>
  <c r="CZ221" i="1"/>
  <c r="CX41" i="1"/>
  <c r="CY41" i="1"/>
  <c r="CZ41" i="1"/>
  <c r="CX169" i="1"/>
  <c r="CY169" i="1"/>
  <c r="CZ169" i="1"/>
  <c r="CX216" i="1"/>
  <c r="CY216" i="1"/>
  <c r="CZ216" i="1"/>
  <c r="CX223" i="1"/>
  <c r="CZ223" i="1"/>
  <c r="CY223" i="1"/>
  <c r="CX164" i="1"/>
  <c r="CY164" i="1"/>
  <c r="CZ164" i="1"/>
  <c r="CX168" i="1"/>
  <c r="CY168" i="1"/>
  <c r="CZ168" i="1"/>
  <c r="CZ82" i="1"/>
  <c r="CX82" i="1"/>
  <c r="CY82" i="1"/>
  <c r="CX50" i="1"/>
  <c r="CY50" i="1"/>
  <c r="CZ50" i="1"/>
  <c r="CY143" i="1"/>
  <c r="CZ143" i="1"/>
  <c r="CX143" i="1"/>
  <c r="CX233" i="1"/>
  <c r="CY233" i="1"/>
  <c r="CZ233" i="1"/>
  <c r="CY133" i="1"/>
  <c r="CZ133" i="1"/>
  <c r="CX133" i="1"/>
  <c r="CZ97" i="1"/>
  <c r="CX97" i="1"/>
  <c r="CY97" i="1"/>
  <c r="CX227" i="1"/>
  <c r="CZ227" i="1"/>
  <c r="CY227" i="1"/>
  <c r="CY110" i="1"/>
  <c r="CZ110" i="1"/>
  <c r="CX110" i="1"/>
  <c r="CY134" i="1"/>
  <c r="CZ134" i="1"/>
  <c r="CX134" i="1"/>
  <c r="CX42" i="1"/>
  <c r="CY42" i="1"/>
  <c r="CZ42" i="1"/>
  <c r="CY11" i="1"/>
  <c r="CZ11" i="1"/>
  <c r="CX11" i="1"/>
  <c r="CX38" i="1"/>
  <c r="CY38" i="1"/>
  <c r="CZ38" i="1"/>
  <c r="CY116" i="1"/>
  <c r="CZ116" i="1"/>
  <c r="CX116" i="1"/>
  <c r="CX218" i="1"/>
  <c r="CY218" i="1"/>
  <c r="CZ218" i="1"/>
  <c r="CY12" i="1"/>
  <c r="CZ12" i="1"/>
  <c r="CX12" i="1"/>
  <c r="CY30" i="1"/>
  <c r="CZ30" i="1"/>
  <c r="CX30" i="1"/>
  <c r="CX246" i="1"/>
  <c r="CY246" i="1"/>
  <c r="CZ246" i="1"/>
  <c r="CY31" i="1"/>
  <c r="CZ31" i="1"/>
  <c r="CX31" i="1"/>
  <c r="CY15" i="1"/>
  <c r="CZ15" i="1"/>
  <c r="CX15" i="1"/>
  <c r="CZ102" i="1"/>
  <c r="CX102" i="1"/>
  <c r="CY102" i="1"/>
  <c r="CX235" i="1"/>
  <c r="CZ235" i="1"/>
  <c r="CY235" i="1"/>
  <c r="CX157" i="1"/>
  <c r="CY157" i="1"/>
  <c r="CZ157" i="1"/>
  <c r="CY32" i="1"/>
  <c r="CZ32" i="1"/>
  <c r="CX32" i="1"/>
  <c r="CX238" i="1"/>
  <c r="CZ238" i="1"/>
  <c r="CY238" i="1"/>
  <c r="CX230" i="1"/>
  <c r="CZ230" i="1"/>
  <c r="CY230" i="1"/>
  <c r="CZ88" i="1"/>
  <c r="CX88" i="1"/>
  <c r="CY88" i="1"/>
  <c r="CX240" i="1"/>
  <c r="CY240" i="1"/>
  <c r="CZ240" i="1"/>
  <c r="CY145" i="1"/>
  <c r="CZ145" i="1"/>
  <c r="CX145" i="1"/>
  <c r="CX59" i="1"/>
  <c r="CY59" i="1"/>
  <c r="CZ59" i="1"/>
  <c r="CX152" i="1"/>
  <c r="CY152" i="1"/>
  <c r="CZ152" i="1"/>
  <c r="CY122" i="1"/>
  <c r="CZ122" i="1"/>
  <c r="CX122" i="1"/>
  <c r="CZ99" i="1"/>
  <c r="CX99" i="1"/>
  <c r="CY99" i="1"/>
  <c r="CX229" i="1"/>
  <c r="CY229" i="1"/>
  <c r="CZ229" i="1"/>
  <c r="CX215" i="1"/>
  <c r="CY215" i="1"/>
  <c r="CZ215" i="1"/>
  <c r="CY16" i="1"/>
  <c r="CZ16" i="1"/>
  <c r="CX16" i="1"/>
  <c r="CY24" i="1"/>
  <c r="CZ24" i="1"/>
  <c r="CX24" i="1"/>
  <c r="CZ184" i="1"/>
  <c r="CX184" i="1"/>
  <c r="CY184" i="1"/>
  <c r="CX237" i="1"/>
  <c r="CY237" i="1"/>
  <c r="CZ237" i="1"/>
  <c r="CY268" i="1"/>
  <c r="CX268" i="1"/>
  <c r="CZ268" i="1"/>
  <c r="CY126" i="1"/>
  <c r="CZ126" i="1"/>
  <c r="CX126" i="1"/>
  <c r="CZ76" i="1"/>
  <c r="CX76" i="1"/>
  <c r="CY76" i="1"/>
  <c r="CX179" i="1"/>
  <c r="CY179" i="1"/>
  <c r="CZ179" i="1"/>
  <c r="CZ103" i="1"/>
  <c r="CX103" i="1"/>
  <c r="CY103" i="1"/>
  <c r="CX248" i="1"/>
  <c r="CY248" i="1"/>
  <c r="CZ248" i="1"/>
  <c r="CZ180" i="1"/>
  <c r="CX180" i="1"/>
  <c r="CY180" i="1"/>
  <c r="CX213" i="1"/>
  <c r="CY213" i="1"/>
  <c r="CZ213" i="1"/>
  <c r="CZ96" i="1"/>
  <c r="CX96" i="1"/>
  <c r="CY96" i="1"/>
  <c r="CY149" i="1"/>
  <c r="CZ149" i="1"/>
  <c r="CX149" i="1"/>
  <c r="CX188" i="1"/>
  <c r="CY188" i="1"/>
  <c r="CZ188" i="1"/>
  <c r="CY153" i="1"/>
  <c r="CZ153" i="1"/>
  <c r="CX153" i="1"/>
  <c r="CY117" i="1"/>
  <c r="CZ117" i="1"/>
  <c r="CX117" i="1"/>
  <c r="CZ106" i="1"/>
  <c r="CX106" i="1"/>
  <c r="CY106" i="1"/>
  <c r="CY18" i="1"/>
  <c r="CZ18" i="1"/>
  <c r="CX18" i="1"/>
  <c r="CZ73" i="1"/>
  <c r="CX73" i="1"/>
  <c r="CY73" i="1"/>
  <c r="CX60" i="1"/>
  <c r="CY60" i="1"/>
  <c r="CZ60" i="1"/>
  <c r="CX36" i="1"/>
  <c r="CY36" i="1"/>
  <c r="CZ36" i="1"/>
  <c r="CX120" i="1"/>
  <c r="CY120" i="1"/>
  <c r="CZ120" i="1"/>
  <c r="CY142" i="1"/>
  <c r="CZ142" i="1"/>
  <c r="CX142" i="1"/>
  <c r="CX176" i="1"/>
  <c r="CY176" i="1"/>
  <c r="CZ176" i="1"/>
  <c r="CX191" i="1"/>
  <c r="CY191" i="1"/>
  <c r="CZ191" i="1"/>
  <c r="CY27" i="1"/>
  <c r="CZ27" i="1"/>
  <c r="CX27" i="1"/>
  <c r="CY131" i="1"/>
  <c r="CZ131" i="1"/>
  <c r="CX131" i="1"/>
  <c r="CX214" i="1"/>
  <c r="CY214" i="1"/>
  <c r="CZ214" i="1"/>
  <c r="CY9" i="1"/>
  <c r="CZ9" i="1"/>
  <c r="CX9" i="1"/>
  <c r="CY265" i="1"/>
  <c r="CX265" i="1"/>
  <c r="CZ265" i="1"/>
  <c r="CX61" i="1"/>
  <c r="CY61" i="1"/>
  <c r="CZ61" i="1"/>
  <c r="CX62" i="1"/>
  <c r="CY62" i="1"/>
  <c r="CZ62" i="1"/>
  <c r="CX65" i="1"/>
  <c r="CY65" i="1"/>
  <c r="CZ65" i="1"/>
  <c r="CX114" i="1"/>
  <c r="CY114" i="1"/>
  <c r="CZ114" i="1"/>
  <c r="CX245" i="1"/>
  <c r="CY245" i="1"/>
  <c r="CZ245" i="1"/>
  <c r="CY119" i="1"/>
  <c r="CZ119" i="1"/>
  <c r="CX119" i="1"/>
  <c r="CY128" i="1"/>
  <c r="CZ128" i="1"/>
  <c r="CX128" i="1"/>
  <c r="CY23" i="1"/>
  <c r="CZ23" i="1"/>
  <c r="CX23" i="1"/>
  <c r="CX207" i="1"/>
  <c r="CY207" i="1"/>
  <c r="CZ207" i="1"/>
  <c r="CY22" i="1"/>
  <c r="CZ22" i="1"/>
  <c r="CX22" i="1"/>
  <c r="CX57" i="1"/>
  <c r="CY57" i="1"/>
  <c r="CZ57" i="1"/>
  <c r="CX167" i="1"/>
  <c r="CY167" i="1"/>
  <c r="CZ167" i="1"/>
  <c r="CX200" i="1"/>
  <c r="CY200" i="1"/>
  <c r="CZ200" i="1"/>
  <c r="CZ100" i="1"/>
  <c r="CX100" i="1"/>
  <c r="CY100" i="1"/>
  <c r="DL258" i="1" l="1" a="1"/>
  <c r="DL258" i="1" s="1"/>
  <c r="DP258" i="1" s="1"/>
  <c r="DM258" i="1" a="1"/>
  <c r="DM258" i="1" s="1"/>
  <c r="DQ258" i="1" s="1"/>
  <c r="DM113" i="1" a="1"/>
  <c r="DM113" i="1" s="1"/>
  <c r="DQ113" i="1" s="1"/>
  <c r="DL113" i="1" a="1"/>
  <c r="DL113" i="1" s="1"/>
  <c r="DP113" i="1" s="1"/>
  <c r="DM127" i="1" a="1"/>
  <c r="DM127" i="1" s="1"/>
  <c r="DL127" i="1" a="1"/>
  <c r="DL127" i="1" s="1"/>
  <c r="DL210" i="1" a="1"/>
  <c r="DL210" i="1" s="1"/>
  <c r="DM210" i="1" a="1"/>
  <c r="DM210" i="1" s="1"/>
  <c r="DL95" i="1" a="1"/>
  <c r="DL95" i="1" s="1"/>
  <c r="DL13" i="1" a="1"/>
  <c r="DL13" i="1" s="1"/>
  <c r="DM13" i="1" a="1"/>
  <c r="DM13" i="1" s="1"/>
  <c r="DM95" i="1" a="1"/>
  <c r="DM95" i="1" s="1"/>
  <c r="DL124" i="1" a="1"/>
  <c r="DL124" i="1" s="1"/>
  <c r="DL209" i="1" a="1"/>
  <c r="DL209" i="1" s="1"/>
  <c r="DM209" i="1" a="1"/>
  <c r="DM209" i="1" s="1"/>
  <c r="DM124" i="1" a="1"/>
  <c r="DM124" i="1" s="1"/>
  <c r="DM79" i="1" a="1"/>
  <c r="DM79" i="1" s="1"/>
  <c r="DM250" i="1" a="1"/>
  <c r="DM250" i="1" s="1"/>
  <c r="DL79" i="1" a="1"/>
  <c r="DL79" i="1" s="1"/>
  <c r="DL250" i="1" a="1"/>
  <c r="DL250" i="1" s="1"/>
  <c r="DM112" i="1" a="1"/>
  <c r="DM112" i="1" s="1"/>
  <c r="DL112" i="1" a="1"/>
  <c r="DL112" i="1" s="1"/>
  <c r="DL270" i="1" a="1"/>
  <c r="DL270" i="1" s="1"/>
  <c r="DM270" i="1" a="1"/>
  <c r="DM270" i="1" s="1"/>
  <c r="DL267" i="1" a="1"/>
  <c r="DL267" i="1" s="1"/>
  <c r="DM267" i="1" a="1"/>
  <c r="DM267" i="1" s="1"/>
  <c r="DQ267" i="1" s="1"/>
  <c r="DM160" i="1" a="1"/>
  <c r="DM160" i="1" s="1"/>
  <c r="DL160" i="1" a="1"/>
  <c r="DL160" i="1" s="1"/>
  <c r="DM206" i="1" a="1"/>
  <c r="DM206" i="1" s="1"/>
  <c r="DL206" i="1" a="1"/>
  <c r="DL206" i="1" s="1"/>
  <c r="DM172" i="1" a="1"/>
  <c r="DM172" i="1" s="1"/>
  <c r="DL172" i="1" a="1"/>
  <c r="DL172" i="1" s="1"/>
  <c r="DM202" i="1" a="1"/>
  <c r="DM202" i="1" s="1"/>
  <c r="DL202" i="1" a="1"/>
  <c r="DL202" i="1" s="1"/>
  <c r="DM49" i="1" a="1"/>
  <c r="DM49" i="1" s="1"/>
  <c r="DL49" i="1" a="1"/>
  <c r="DL49" i="1" s="1"/>
  <c r="DM156" i="1" a="1"/>
  <c r="DM156" i="1" s="1"/>
  <c r="DL156" i="1" a="1"/>
  <c r="DL156" i="1" s="1"/>
  <c r="DL181" i="1" a="1"/>
  <c r="DL181" i="1" s="1"/>
  <c r="DM181" i="1" a="1"/>
  <c r="DM181" i="1" s="1"/>
  <c r="DM198" i="1" a="1"/>
  <c r="DM198" i="1" s="1"/>
  <c r="DL198" i="1" a="1"/>
  <c r="DL198" i="1" s="1"/>
  <c r="DM56" i="1" a="1"/>
  <c r="DM56" i="1" s="1"/>
  <c r="DL56" i="1" a="1"/>
  <c r="DL56" i="1" s="1"/>
  <c r="DM47" i="1" a="1"/>
  <c r="DM47" i="1" s="1"/>
  <c r="DL47" i="1" a="1"/>
  <c r="DL47" i="1" s="1"/>
  <c r="DL221" i="1" a="1"/>
  <c r="DL221" i="1" s="1"/>
  <c r="DM221" i="1" a="1"/>
  <c r="DM221" i="1" s="1"/>
  <c r="DM24" i="1" a="1"/>
  <c r="DM24" i="1" s="1"/>
  <c r="DL24" i="1" a="1"/>
  <c r="DL24" i="1" s="1"/>
  <c r="DM239" i="1" a="1"/>
  <c r="DM239" i="1" s="1"/>
  <c r="DL239" i="1" a="1"/>
  <c r="DL239" i="1" s="1"/>
  <c r="DL229" i="1" a="1"/>
  <c r="DL229" i="1" s="1"/>
  <c r="DM229" i="1" a="1"/>
  <c r="DM229" i="1" s="1"/>
  <c r="DL99" i="1" a="1"/>
  <c r="DL99" i="1" s="1"/>
  <c r="DM99" i="1" a="1"/>
  <c r="DM99" i="1" s="1"/>
  <c r="DL46" i="1" a="1"/>
  <c r="DL46" i="1" s="1"/>
  <c r="DM46" i="1" a="1"/>
  <c r="DM46" i="1" s="1"/>
  <c r="DL59" i="1" a="1"/>
  <c r="DL59" i="1" s="1"/>
  <c r="DM59" i="1" a="1"/>
  <c r="DM59" i="1" s="1"/>
  <c r="DM145" i="1" a="1"/>
  <c r="DM145" i="1" s="1"/>
  <c r="DL145" i="1" a="1"/>
  <c r="DL145" i="1" s="1"/>
  <c r="DM88" i="1" a="1"/>
  <c r="DM88" i="1" s="1"/>
  <c r="DL88" i="1" a="1"/>
  <c r="DL88" i="1" s="1"/>
  <c r="DM230" i="1" a="1"/>
  <c r="DM230" i="1" s="1"/>
  <c r="DL230" i="1" a="1"/>
  <c r="DL230" i="1" s="1"/>
  <c r="DL238" i="1" a="1"/>
  <c r="DL238" i="1" s="1"/>
  <c r="DM238" i="1" a="1"/>
  <c r="DM238" i="1" s="1"/>
  <c r="DL256" i="1" a="1"/>
  <c r="DL256" i="1" s="1"/>
  <c r="DM256" i="1" a="1"/>
  <c r="DM256" i="1" s="1"/>
  <c r="DM208" i="1" a="1"/>
  <c r="DM208" i="1" s="1"/>
  <c r="DL208" i="1" a="1"/>
  <c r="DL208" i="1" s="1"/>
  <c r="DL186" i="1" a="1"/>
  <c r="DL186" i="1" s="1"/>
  <c r="DM186" i="1" a="1"/>
  <c r="DM186" i="1" s="1"/>
  <c r="DL111" i="1" a="1"/>
  <c r="DL111" i="1" s="1"/>
  <c r="DM111" i="1" a="1"/>
  <c r="DM111" i="1" s="1"/>
  <c r="DM166" i="1" a="1"/>
  <c r="DM166" i="1" s="1"/>
  <c r="DL166" i="1" a="1"/>
  <c r="DL166" i="1" s="1"/>
  <c r="DL87" i="1" a="1"/>
  <c r="DL87" i="1" s="1"/>
  <c r="DM87" i="1" a="1"/>
  <c r="DM87" i="1" s="1"/>
  <c r="DL109" i="1" a="1"/>
  <c r="DL109" i="1" s="1"/>
  <c r="DM109" i="1" a="1"/>
  <c r="DM109" i="1" s="1"/>
  <c r="DL219" i="1" a="1"/>
  <c r="DL219" i="1" s="1"/>
  <c r="DM219" i="1" a="1"/>
  <c r="DM219" i="1" s="1"/>
  <c r="DM155" i="1" a="1"/>
  <c r="DM155" i="1" s="1"/>
  <c r="DL155" i="1" a="1"/>
  <c r="DL155" i="1" s="1"/>
  <c r="DL115" i="1" a="1"/>
  <c r="DL115" i="1" s="1"/>
  <c r="DM115" i="1" a="1"/>
  <c r="DM115" i="1" s="1"/>
  <c r="DM259" i="1" a="1"/>
  <c r="DM259" i="1" s="1"/>
  <c r="DL259" i="1" a="1"/>
  <c r="DL259" i="1" s="1"/>
  <c r="DL44" i="1" a="1"/>
  <c r="DL44" i="1" s="1"/>
  <c r="DM44" i="1" a="1"/>
  <c r="DM44" i="1" s="1"/>
  <c r="DL223" i="1" a="1"/>
  <c r="DL223" i="1" s="1"/>
  <c r="DM223" i="1" a="1"/>
  <c r="DM223" i="1" s="1"/>
  <c r="DM224" i="1" a="1"/>
  <c r="DM224" i="1" s="1"/>
  <c r="DL224" i="1" a="1"/>
  <c r="DL224" i="1" s="1"/>
  <c r="DL41" i="1" a="1"/>
  <c r="DL41" i="1" s="1"/>
  <c r="DM41" i="1" a="1"/>
  <c r="DM41" i="1" s="1"/>
  <c r="DL203" i="1" a="1"/>
  <c r="DL203" i="1" s="1"/>
  <c r="DM203" i="1" a="1"/>
  <c r="DM203" i="1" s="1"/>
  <c r="DM129" i="1" a="1"/>
  <c r="DM129" i="1" s="1"/>
  <c r="DL129" i="1" a="1"/>
  <c r="DL129" i="1" s="1"/>
  <c r="DL183" i="1" a="1"/>
  <c r="DL183" i="1" s="1"/>
  <c r="DM183" i="1" a="1"/>
  <c r="DM183" i="1" s="1"/>
  <c r="DL107" i="1" a="1"/>
  <c r="DL107" i="1" s="1"/>
  <c r="DM107" i="1" a="1"/>
  <c r="DM107" i="1" s="1"/>
  <c r="DL68" i="1" a="1"/>
  <c r="DL68" i="1" s="1"/>
  <c r="DM68" i="1" a="1"/>
  <c r="DM68" i="1" s="1"/>
  <c r="DL57" i="1" a="1"/>
  <c r="DL57" i="1" s="1"/>
  <c r="DM57" i="1" a="1"/>
  <c r="DM57" i="1" s="1"/>
  <c r="DL119" i="1" a="1"/>
  <c r="DL119" i="1" s="1"/>
  <c r="DM119" i="1" a="1"/>
  <c r="DM119" i="1" s="1"/>
  <c r="DL9" i="1" a="1"/>
  <c r="DL9" i="1" s="1"/>
  <c r="DM9" i="1" a="1"/>
  <c r="DM9" i="1" s="1"/>
  <c r="DL32" i="1" a="1"/>
  <c r="DL32" i="1" s="1"/>
  <c r="DM32" i="1" a="1"/>
  <c r="DM32" i="1" s="1"/>
  <c r="DL102" i="1" a="1"/>
  <c r="DL102" i="1" s="1"/>
  <c r="DM102" i="1" a="1"/>
  <c r="DM102" i="1" s="1"/>
  <c r="DL246" i="1" a="1"/>
  <c r="DL246" i="1" s="1"/>
  <c r="DM246" i="1" a="1"/>
  <c r="DM246" i="1" s="1"/>
  <c r="DL12" i="1" a="1"/>
  <c r="DL12" i="1" s="1"/>
  <c r="DM12" i="1" a="1"/>
  <c r="DM12" i="1" s="1"/>
  <c r="DM178" i="1" a="1"/>
  <c r="DM178" i="1" s="1"/>
  <c r="DL178" i="1" a="1"/>
  <c r="DL178" i="1" s="1"/>
  <c r="DL48" i="1" a="1"/>
  <c r="DL48" i="1" s="1"/>
  <c r="DM48" i="1" a="1"/>
  <c r="DM48" i="1" s="1"/>
  <c r="DL249" i="1" a="1"/>
  <c r="DL249" i="1" s="1"/>
  <c r="DM249" i="1" a="1"/>
  <c r="DM249" i="1" s="1"/>
  <c r="DL231" i="1" a="1"/>
  <c r="DL231" i="1" s="1"/>
  <c r="DM231" i="1" a="1"/>
  <c r="DM231" i="1" s="1"/>
  <c r="DL55" i="1" a="1"/>
  <c r="DL55" i="1" s="1"/>
  <c r="DM55" i="1" a="1"/>
  <c r="DM55" i="1" s="1"/>
  <c r="DL264" i="1" a="1"/>
  <c r="DL264" i="1" s="1"/>
  <c r="DM264" i="1" a="1"/>
  <c r="DM264" i="1" s="1"/>
  <c r="DL257" i="1" a="1"/>
  <c r="DL257" i="1" s="1"/>
  <c r="DM257" i="1" a="1"/>
  <c r="DM257" i="1" s="1"/>
  <c r="DL64" i="1" a="1"/>
  <c r="DL64" i="1" s="1"/>
  <c r="DM64" i="1" a="1"/>
  <c r="DM64" i="1" s="1"/>
  <c r="DL130" i="1" a="1"/>
  <c r="DL130" i="1" s="1"/>
  <c r="DM130" i="1" a="1"/>
  <c r="DM130" i="1" s="1"/>
  <c r="DL51" i="1" a="1"/>
  <c r="DL51" i="1" s="1"/>
  <c r="DM51" i="1" a="1"/>
  <c r="DM51" i="1" s="1"/>
  <c r="DL89" i="1" a="1"/>
  <c r="DL89" i="1" s="1"/>
  <c r="DM89" i="1" a="1"/>
  <c r="DM89" i="1" s="1"/>
  <c r="DL193" i="1" a="1"/>
  <c r="DL193" i="1" s="1"/>
  <c r="DM193" i="1" a="1"/>
  <c r="DM193" i="1" s="1"/>
  <c r="DL80" i="1" a="1"/>
  <c r="DL80" i="1" s="1"/>
  <c r="DM80" i="1" a="1"/>
  <c r="DM80" i="1" s="1"/>
  <c r="DM17" i="1" a="1"/>
  <c r="DM17" i="1" s="1"/>
  <c r="DL17" i="1" a="1"/>
  <c r="DL17" i="1" s="1"/>
  <c r="DM19" i="1" a="1"/>
  <c r="DM19" i="1" s="1"/>
  <c r="DL19" i="1" a="1"/>
  <c r="DL19" i="1" s="1"/>
  <c r="DL78" i="1" a="1"/>
  <c r="DL78" i="1" s="1"/>
  <c r="DM78" i="1" a="1"/>
  <c r="DM78" i="1" s="1"/>
  <c r="DM70" i="1" a="1"/>
  <c r="DM70" i="1" s="1"/>
  <c r="DL70" i="1" a="1"/>
  <c r="DL70" i="1" s="1"/>
  <c r="DL121" i="1" a="1"/>
  <c r="DL121" i="1" s="1"/>
  <c r="DM121" i="1" a="1"/>
  <c r="DM121" i="1" s="1"/>
  <c r="DL244" i="1" a="1"/>
  <c r="DL244" i="1" s="1"/>
  <c r="DM244" i="1" a="1"/>
  <c r="DM244" i="1" s="1"/>
  <c r="DL148" i="1" a="1"/>
  <c r="DL148" i="1" s="1"/>
  <c r="DM148" i="1" a="1"/>
  <c r="DM148" i="1" s="1"/>
  <c r="DL123" i="1" a="1"/>
  <c r="DL123" i="1" s="1"/>
  <c r="DM123" i="1" a="1"/>
  <c r="DM123" i="1" s="1"/>
  <c r="DL82" i="1" a="1"/>
  <c r="DL82" i="1" s="1"/>
  <c r="DM82" i="1" a="1"/>
  <c r="DM82" i="1" s="1"/>
  <c r="DL105" i="1" a="1"/>
  <c r="DL105" i="1" s="1"/>
  <c r="DM105" i="1" a="1"/>
  <c r="DM105" i="1" s="1"/>
  <c r="DM192" i="1" a="1"/>
  <c r="DM192" i="1" s="1"/>
  <c r="DL192" i="1" a="1"/>
  <c r="DL192" i="1" s="1"/>
  <c r="DL25" i="1" a="1"/>
  <c r="DL25" i="1" s="1"/>
  <c r="DP25" i="1" s="1"/>
  <c r="DM25" i="1" a="1"/>
  <c r="DM25" i="1" s="1"/>
  <c r="DM269" i="1" a="1"/>
  <c r="DM269" i="1" s="1"/>
  <c r="DL269" i="1" a="1"/>
  <c r="DL269" i="1" s="1"/>
  <c r="DL144" i="1" a="1"/>
  <c r="DL144" i="1" s="1"/>
  <c r="DM144" i="1" a="1"/>
  <c r="DM144" i="1" s="1"/>
  <c r="DL100" i="1" a="1"/>
  <c r="DL100" i="1" s="1"/>
  <c r="DM100" i="1" a="1"/>
  <c r="DM100" i="1" s="1"/>
  <c r="DL265" i="1" a="1"/>
  <c r="DL265" i="1" s="1"/>
  <c r="DM265" i="1" a="1"/>
  <c r="DM265" i="1" s="1"/>
  <c r="DM196" i="1" a="1"/>
  <c r="DM196" i="1" s="1"/>
  <c r="DL196" i="1" a="1"/>
  <c r="DL196" i="1" s="1"/>
  <c r="DL43" i="1" a="1"/>
  <c r="DL43" i="1" s="1"/>
  <c r="DM43" i="1" a="1"/>
  <c r="DM43" i="1" s="1"/>
  <c r="DL252" i="1" a="1"/>
  <c r="DL252" i="1" s="1"/>
  <c r="DM252" i="1" a="1"/>
  <c r="DM252" i="1" s="1"/>
  <c r="DL66" i="1" a="1"/>
  <c r="DL66" i="1" s="1"/>
  <c r="DM66" i="1" a="1"/>
  <c r="DM66" i="1" s="1"/>
  <c r="DL175" i="1" a="1"/>
  <c r="DL175" i="1" s="1"/>
  <c r="DM175" i="1" a="1"/>
  <c r="DM175" i="1" s="1"/>
  <c r="DL138" i="1" a="1"/>
  <c r="DL138" i="1" s="1"/>
  <c r="DM138" i="1" a="1"/>
  <c r="DM138" i="1" s="1"/>
  <c r="DL173" i="1" a="1"/>
  <c r="DL173" i="1" s="1"/>
  <c r="DM173" i="1" a="1"/>
  <c r="DM173" i="1" s="1"/>
  <c r="DM204" i="1" a="1"/>
  <c r="DM204" i="1" s="1"/>
  <c r="DL204" i="1" a="1"/>
  <c r="DL204" i="1" s="1"/>
  <c r="DM81" i="1" a="1"/>
  <c r="DM81" i="1" s="1"/>
  <c r="DL81" i="1" a="1"/>
  <c r="DL81" i="1" s="1"/>
  <c r="DM263" i="1" a="1"/>
  <c r="DM263" i="1" s="1"/>
  <c r="DL263" i="1" a="1"/>
  <c r="DL263" i="1" s="1"/>
  <c r="DL195" i="1" a="1"/>
  <c r="DL195" i="1" s="1"/>
  <c r="DM195" i="1" a="1"/>
  <c r="DM195" i="1" s="1"/>
  <c r="DM170" i="1" a="1"/>
  <c r="DM170" i="1" s="1"/>
  <c r="DL170" i="1" a="1"/>
  <c r="DL170" i="1" s="1"/>
  <c r="DM228" i="1" a="1"/>
  <c r="DM228" i="1" s="1"/>
  <c r="DL228" i="1" a="1"/>
  <c r="DL228" i="1" s="1"/>
  <c r="DL83" i="1" a="1"/>
  <c r="DL83" i="1" s="1"/>
  <c r="DM83" i="1" a="1"/>
  <c r="DM83" i="1" s="1"/>
  <c r="DL38" i="1" a="1"/>
  <c r="DL38" i="1" s="1"/>
  <c r="DM38" i="1" a="1"/>
  <c r="DM38" i="1" s="1"/>
  <c r="DL11" i="1" a="1"/>
  <c r="DL11" i="1" s="1"/>
  <c r="DM11" i="1" a="1"/>
  <c r="DM11" i="1" s="1"/>
  <c r="DM42" i="1" a="1"/>
  <c r="DM42" i="1" s="1"/>
  <c r="DL42" i="1" a="1"/>
  <c r="DL42" i="1" s="1"/>
  <c r="DL67" i="1" a="1"/>
  <c r="DL67" i="1" s="1"/>
  <c r="DM67" i="1" a="1"/>
  <c r="DM67" i="1" s="1"/>
  <c r="DL110" i="1" a="1"/>
  <c r="DL110" i="1" s="1"/>
  <c r="DM110" i="1" a="1"/>
  <c r="DM110" i="1" s="1"/>
  <c r="DL227" i="1" a="1"/>
  <c r="DL227" i="1" s="1"/>
  <c r="DM227" i="1" a="1"/>
  <c r="DM227" i="1" s="1"/>
  <c r="DL90" i="1" a="1"/>
  <c r="DL90" i="1" s="1"/>
  <c r="DM90" i="1" a="1"/>
  <c r="DM90" i="1" s="1"/>
  <c r="DM212" i="1" a="1"/>
  <c r="DM212" i="1" s="1"/>
  <c r="DL212" i="1" a="1"/>
  <c r="DL212" i="1" s="1"/>
  <c r="DM243" i="1" a="1"/>
  <c r="DM243" i="1" s="1"/>
  <c r="DL243" i="1" a="1"/>
  <c r="DL243" i="1" s="1"/>
  <c r="DL37" i="1" a="1"/>
  <c r="DL37" i="1" s="1"/>
  <c r="DM37" i="1" a="1"/>
  <c r="DM37" i="1" s="1"/>
  <c r="DM142" i="1" a="1"/>
  <c r="DM142" i="1" s="1"/>
  <c r="DL142" i="1" a="1"/>
  <c r="DL142" i="1" s="1"/>
  <c r="DL36" i="1" a="1"/>
  <c r="DL36" i="1" s="1"/>
  <c r="DM36" i="1" a="1"/>
  <c r="DM36" i="1" s="1"/>
  <c r="DL73" i="1" a="1"/>
  <c r="DL73" i="1" s="1"/>
  <c r="DM73" i="1" a="1"/>
  <c r="DM73" i="1" s="1"/>
  <c r="DL106" i="1" a="1"/>
  <c r="DL106" i="1" s="1"/>
  <c r="DM106" i="1" a="1"/>
  <c r="DM106" i="1" s="1"/>
  <c r="DL153" i="1" a="1"/>
  <c r="DL153" i="1" s="1"/>
  <c r="DM153" i="1" a="1"/>
  <c r="DM153" i="1" s="1"/>
  <c r="DL149" i="1" a="1"/>
  <c r="DL149" i="1" s="1"/>
  <c r="DM149" i="1" a="1"/>
  <c r="DM149" i="1" s="1"/>
  <c r="DL213" i="1" a="1"/>
  <c r="DL213" i="1" s="1"/>
  <c r="DM213" i="1" a="1"/>
  <c r="DM213" i="1" s="1"/>
  <c r="DL248" i="1" a="1"/>
  <c r="DL248" i="1" s="1"/>
  <c r="DM248" i="1" a="1"/>
  <c r="DM248" i="1" s="1"/>
  <c r="DL179" i="1" a="1"/>
  <c r="DL179" i="1" s="1"/>
  <c r="DM179" i="1" a="1"/>
  <c r="DM179" i="1" s="1"/>
  <c r="DM126" i="1" a="1"/>
  <c r="DM126" i="1" s="1"/>
  <c r="DL126" i="1" a="1"/>
  <c r="DL126" i="1" s="1"/>
  <c r="DL237" i="1" a="1"/>
  <c r="DL237" i="1" s="1"/>
  <c r="DM237" i="1" a="1"/>
  <c r="DM237" i="1" s="1"/>
  <c r="DL161" i="1" a="1"/>
  <c r="DL161" i="1" s="1"/>
  <c r="DM161" i="1" a="1"/>
  <c r="DM161" i="1" s="1"/>
  <c r="DL211" i="1" a="1"/>
  <c r="DL211" i="1" s="1"/>
  <c r="DM211" i="1" a="1"/>
  <c r="DM211" i="1" s="1"/>
  <c r="DL7" i="1" a="1"/>
  <c r="DL7" i="1" s="1"/>
  <c r="DM7" i="1" a="1"/>
  <c r="DM7" i="1" s="1"/>
  <c r="DL54" i="1" a="1"/>
  <c r="DL54" i="1" s="1"/>
  <c r="DM54" i="1" a="1"/>
  <c r="DM54" i="1" s="1"/>
  <c r="DL207" i="1" a="1"/>
  <c r="DL207" i="1" s="1"/>
  <c r="DM207" i="1" a="1"/>
  <c r="DM207" i="1" s="1"/>
  <c r="DL245" i="1" a="1"/>
  <c r="DL245" i="1" s="1"/>
  <c r="DM245" i="1" a="1"/>
  <c r="DM245" i="1" s="1"/>
  <c r="DL61" i="1" a="1"/>
  <c r="DL61" i="1" s="1"/>
  <c r="DM61" i="1" a="1"/>
  <c r="DM61" i="1" s="1"/>
  <c r="DM191" i="1" a="1"/>
  <c r="DM191" i="1" s="1"/>
  <c r="DL191" i="1" a="1"/>
  <c r="DL191" i="1" s="1"/>
  <c r="DL217" i="1" a="1"/>
  <c r="DL217" i="1" s="1"/>
  <c r="DM217" i="1" a="1"/>
  <c r="DM217" i="1" s="1"/>
  <c r="DL201" i="1" a="1"/>
  <c r="DL201" i="1" s="1"/>
  <c r="DM201" i="1" a="1"/>
  <c r="DM201" i="1" s="1"/>
  <c r="DL260" i="1" a="1"/>
  <c r="DL260" i="1" s="1"/>
  <c r="DM260" i="1" a="1"/>
  <c r="DM260" i="1" s="1"/>
  <c r="DL116" i="1" a="1"/>
  <c r="DL116" i="1" s="1"/>
  <c r="DM116" i="1" a="1"/>
  <c r="DM116" i="1" s="1"/>
  <c r="DL34" i="1" a="1"/>
  <c r="DL34" i="1" s="1"/>
  <c r="DM34" i="1" a="1"/>
  <c r="DM34" i="1" s="1"/>
  <c r="DM63" i="1" a="1"/>
  <c r="DM63" i="1" s="1"/>
  <c r="DL63" i="1" a="1"/>
  <c r="DL63" i="1" s="1"/>
  <c r="DM40" i="1" a="1"/>
  <c r="DM40" i="1" s="1"/>
  <c r="DL40" i="1" a="1"/>
  <c r="DL40" i="1" s="1"/>
  <c r="DM182" i="1" a="1"/>
  <c r="DM182" i="1" s="1"/>
  <c r="DL182" i="1" a="1"/>
  <c r="DL182" i="1" s="1"/>
  <c r="DL104" i="1" a="1"/>
  <c r="DL104" i="1" s="1"/>
  <c r="DM104" i="1" a="1"/>
  <c r="DM104" i="1" s="1"/>
  <c r="DM190" i="1" a="1"/>
  <c r="DM190" i="1" s="1"/>
  <c r="DL190" i="1" a="1"/>
  <c r="DL190" i="1" s="1"/>
  <c r="DM251" i="1" a="1"/>
  <c r="DM251" i="1" s="1"/>
  <c r="DL251" i="1" a="1"/>
  <c r="DL251" i="1" s="1"/>
  <c r="DL177" i="1" a="1"/>
  <c r="DL177" i="1" s="1"/>
  <c r="DM177" i="1" a="1"/>
  <c r="DM177" i="1" s="1"/>
  <c r="DL151" i="1" a="1"/>
  <c r="DL151" i="1" s="1"/>
  <c r="DM151" i="1" a="1"/>
  <c r="DM151" i="1" s="1"/>
  <c r="DL35" i="1" a="1"/>
  <c r="DL35" i="1" s="1"/>
  <c r="DM35" i="1" a="1"/>
  <c r="DM35" i="1" s="1"/>
  <c r="DL234" i="1" a="1"/>
  <c r="DL234" i="1" s="1"/>
  <c r="DM234" i="1" a="1"/>
  <c r="DM234" i="1" s="1"/>
  <c r="DM247" i="1" a="1"/>
  <c r="DM247" i="1" s="1"/>
  <c r="DL247" i="1" a="1"/>
  <c r="DL247" i="1" s="1"/>
  <c r="DL261" i="1" a="1"/>
  <c r="DL261" i="1" s="1"/>
  <c r="DM261" i="1" a="1"/>
  <c r="DM261" i="1" s="1"/>
  <c r="DL184" i="1" a="1"/>
  <c r="DL184" i="1" s="1"/>
  <c r="DM184" i="1" a="1"/>
  <c r="DM184" i="1" s="1"/>
  <c r="DL16" i="1" a="1"/>
  <c r="DL16" i="1" s="1"/>
  <c r="DM16" i="1" a="1"/>
  <c r="DM16" i="1" s="1"/>
  <c r="DL215" i="1" a="1"/>
  <c r="DL215" i="1" s="1"/>
  <c r="DM215" i="1" a="1"/>
  <c r="DM215" i="1" s="1"/>
  <c r="DL241" i="1" a="1"/>
  <c r="DL241" i="1" s="1"/>
  <c r="DM241" i="1" a="1"/>
  <c r="DM241" i="1" s="1"/>
  <c r="DL122" i="1" a="1"/>
  <c r="DL122" i="1" s="1"/>
  <c r="DM122" i="1" a="1"/>
  <c r="DM122" i="1" s="1"/>
  <c r="DM152" i="1" a="1"/>
  <c r="DM152" i="1" s="1"/>
  <c r="DL152" i="1" a="1"/>
  <c r="DL152" i="1" s="1"/>
  <c r="DL91" i="1" a="1"/>
  <c r="DL91" i="1" s="1"/>
  <c r="DM91" i="1" a="1"/>
  <c r="DM91" i="1" s="1"/>
  <c r="DL240" i="1" a="1"/>
  <c r="DL240" i="1" s="1"/>
  <c r="DM240" i="1" a="1"/>
  <c r="DM240" i="1" s="1"/>
  <c r="DL147" i="1" a="1"/>
  <c r="DL147" i="1" s="1"/>
  <c r="DM147" i="1" a="1"/>
  <c r="DM147" i="1" s="1"/>
  <c r="DL28" i="1" a="1"/>
  <c r="DL28" i="1" s="1"/>
  <c r="DM28" i="1" a="1"/>
  <c r="DM28" i="1" s="1"/>
  <c r="DL189" i="1" a="1"/>
  <c r="DL189" i="1" s="1"/>
  <c r="DM189" i="1" a="1"/>
  <c r="DM189" i="1" s="1"/>
  <c r="DL93" i="1" a="1"/>
  <c r="DL93" i="1" s="1"/>
  <c r="DM93" i="1" a="1"/>
  <c r="DM93" i="1" s="1"/>
  <c r="DL136" i="1" a="1"/>
  <c r="DL136" i="1" s="1"/>
  <c r="DM136" i="1" a="1"/>
  <c r="DM136" i="1" s="1"/>
  <c r="DL53" i="1" a="1"/>
  <c r="DL53" i="1" s="1"/>
  <c r="DM53" i="1" a="1"/>
  <c r="DM53" i="1" s="1"/>
  <c r="DM58" i="1" a="1"/>
  <c r="DM58" i="1" s="1"/>
  <c r="DL58" i="1" a="1"/>
  <c r="DL58" i="1" s="1"/>
  <c r="DL86" i="1" a="1"/>
  <c r="DL86" i="1" s="1"/>
  <c r="DM86" i="1" a="1"/>
  <c r="DM86" i="1" s="1"/>
  <c r="DL92" i="1" a="1"/>
  <c r="DL92" i="1" s="1"/>
  <c r="DM92" i="1" a="1"/>
  <c r="DM92" i="1" s="1"/>
  <c r="DL154" i="1" a="1"/>
  <c r="DL154" i="1" s="1"/>
  <c r="DM154" i="1" a="1"/>
  <c r="DM154" i="1" s="1"/>
  <c r="DL69" i="1" a="1"/>
  <c r="DL69" i="1" s="1"/>
  <c r="DM69" i="1" a="1"/>
  <c r="DM69" i="1" s="1"/>
  <c r="DM74" i="1" a="1"/>
  <c r="DM74" i="1" s="1"/>
  <c r="DL74" i="1" a="1"/>
  <c r="DL74" i="1" s="1"/>
  <c r="DL20" i="1" a="1"/>
  <c r="DL20" i="1" s="1"/>
  <c r="DM20" i="1" a="1"/>
  <c r="DM20" i="1" s="1"/>
  <c r="DM163" i="1" a="1"/>
  <c r="DM163" i="1" s="1"/>
  <c r="DL163" i="1" a="1"/>
  <c r="DL163" i="1" s="1"/>
  <c r="DM168" i="1" a="1"/>
  <c r="DM168" i="1" s="1"/>
  <c r="DL168" i="1" a="1"/>
  <c r="DL168" i="1" s="1"/>
  <c r="DM164" i="1" a="1"/>
  <c r="DM164" i="1" s="1"/>
  <c r="DL164" i="1" a="1"/>
  <c r="DL164" i="1" s="1"/>
  <c r="DM137" i="1" a="1"/>
  <c r="DM137" i="1" s="1"/>
  <c r="DL137" i="1" a="1"/>
  <c r="DL137" i="1" s="1"/>
  <c r="DL169" i="1" a="1"/>
  <c r="DL169" i="1" s="1"/>
  <c r="DM169" i="1" a="1"/>
  <c r="DM169" i="1" s="1"/>
  <c r="DL141" i="1" a="1"/>
  <c r="DL141" i="1" s="1"/>
  <c r="DM141" i="1" a="1"/>
  <c r="DM141" i="1" s="1"/>
  <c r="DM158" i="1" a="1"/>
  <c r="DM158" i="1" s="1"/>
  <c r="DL158" i="1" a="1"/>
  <c r="DL158" i="1" s="1"/>
  <c r="DL197" i="1" a="1"/>
  <c r="DL197" i="1" s="1"/>
  <c r="DM197" i="1" a="1"/>
  <c r="DM197" i="1" s="1"/>
  <c r="DL165" i="1" a="1"/>
  <c r="DL165" i="1" s="1"/>
  <c r="DM165" i="1" a="1"/>
  <c r="DM165" i="1" s="1"/>
  <c r="DL199" i="1" a="1"/>
  <c r="DL199" i="1" s="1"/>
  <c r="DM199" i="1" a="1"/>
  <c r="DM199" i="1" s="1"/>
  <c r="DM200" i="1" a="1"/>
  <c r="DM200" i="1" s="1"/>
  <c r="DL200" i="1" a="1"/>
  <c r="DL200" i="1" s="1"/>
  <c r="DL23" i="1" a="1"/>
  <c r="DL23" i="1" s="1"/>
  <c r="DM23" i="1" a="1"/>
  <c r="DM23" i="1" s="1"/>
  <c r="DL62" i="1" a="1"/>
  <c r="DL62" i="1" s="1"/>
  <c r="DM62" i="1" a="1"/>
  <c r="DM62" i="1" s="1"/>
  <c r="DL131" i="1" a="1"/>
  <c r="DL131" i="1" s="1"/>
  <c r="DM131" i="1" a="1"/>
  <c r="DM131" i="1" s="1"/>
  <c r="DM33" i="1" a="1"/>
  <c r="DM33" i="1" s="1"/>
  <c r="DL33" i="1" a="1"/>
  <c r="DL33" i="1" s="1"/>
  <c r="DM31" i="1" a="1"/>
  <c r="DM31" i="1" s="1"/>
  <c r="DL31" i="1" a="1"/>
  <c r="DL31" i="1" s="1"/>
  <c r="DL30" i="1" a="1"/>
  <c r="DL30" i="1" s="1"/>
  <c r="DM30" i="1" a="1"/>
  <c r="DM30" i="1" s="1"/>
  <c r="DL21" i="1" a="1"/>
  <c r="DL21" i="1" s="1"/>
  <c r="DM21" i="1" a="1"/>
  <c r="DM21" i="1" s="1"/>
  <c r="DL242" i="1" a="1"/>
  <c r="DL242" i="1" s="1"/>
  <c r="DM242" i="1" a="1"/>
  <c r="DM242" i="1" s="1"/>
  <c r="DM10" i="1" a="1"/>
  <c r="DM10" i="1" s="1"/>
  <c r="DL10" i="1" a="1"/>
  <c r="DL10" i="1" s="1"/>
  <c r="DL139" i="1" a="1"/>
  <c r="DL139" i="1" s="1"/>
  <c r="DM139" i="1" a="1"/>
  <c r="DM139" i="1" s="1"/>
  <c r="DL171" i="1" a="1"/>
  <c r="DL171" i="1" s="1"/>
  <c r="DM171" i="1" a="1"/>
  <c r="DM171" i="1" s="1"/>
  <c r="DM162" i="1" a="1"/>
  <c r="DM162" i="1" s="1"/>
  <c r="DL162" i="1" a="1"/>
  <c r="DL162" i="1" s="1"/>
  <c r="DL77" i="1" a="1"/>
  <c r="DL77" i="1" s="1"/>
  <c r="DM77" i="1" a="1"/>
  <c r="DM77" i="1" s="1"/>
  <c r="DL236" i="1" a="1"/>
  <c r="DL236" i="1" s="1"/>
  <c r="DM236" i="1" a="1"/>
  <c r="DM236" i="1" s="1"/>
  <c r="DM26" i="1" a="1"/>
  <c r="DM26" i="1" s="1"/>
  <c r="DL26" i="1" a="1"/>
  <c r="DL26" i="1" s="1"/>
  <c r="DL85" i="1" a="1"/>
  <c r="DL85" i="1" s="1"/>
  <c r="DM85" i="1" a="1"/>
  <c r="DM85" i="1" s="1"/>
  <c r="DL101" i="1" a="1"/>
  <c r="DL101" i="1" s="1"/>
  <c r="DM101" i="1" a="1"/>
  <c r="DM101" i="1" s="1"/>
  <c r="DM266" i="1" a="1"/>
  <c r="DM266" i="1" s="1"/>
  <c r="DL266" i="1" a="1"/>
  <c r="DL266" i="1" s="1"/>
  <c r="DL254" i="1" a="1"/>
  <c r="DL254" i="1" s="1"/>
  <c r="DM254" i="1" a="1"/>
  <c r="DM254" i="1" s="1"/>
  <c r="DM220" i="1" a="1"/>
  <c r="DM220" i="1" s="1"/>
  <c r="DL220" i="1" a="1"/>
  <c r="DL220" i="1" s="1"/>
  <c r="DL39" i="1" a="1"/>
  <c r="DL39" i="1" s="1"/>
  <c r="DM39" i="1" a="1"/>
  <c r="DM39" i="1" s="1"/>
  <c r="DL94" i="1" a="1"/>
  <c r="DL94" i="1" s="1"/>
  <c r="DM94" i="1" a="1"/>
  <c r="DM94" i="1" s="1"/>
  <c r="DL187" i="1" a="1"/>
  <c r="DL187" i="1" s="1"/>
  <c r="DM187" i="1" a="1"/>
  <c r="DM187" i="1" s="1"/>
  <c r="DL205" i="1" a="1"/>
  <c r="DL205" i="1" s="1"/>
  <c r="DM205" i="1" a="1"/>
  <c r="DM205" i="1" s="1"/>
  <c r="DL146" i="1" a="1"/>
  <c r="DL146" i="1" s="1"/>
  <c r="DM146" i="1" a="1"/>
  <c r="DM146" i="1" s="1"/>
  <c r="DL185" i="1" a="1"/>
  <c r="DL185" i="1" s="1"/>
  <c r="DM185" i="1" a="1"/>
  <c r="DM185" i="1" s="1"/>
  <c r="DL125" i="1" a="1"/>
  <c r="DL125" i="1" s="1"/>
  <c r="DM125" i="1" a="1"/>
  <c r="DM125" i="1" s="1"/>
  <c r="DL253" i="1" a="1"/>
  <c r="DL253" i="1" s="1"/>
  <c r="DM253" i="1" a="1"/>
  <c r="DM253" i="1" s="1"/>
  <c r="DL45" i="1" a="1"/>
  <c r="DL45" i="1" s="1"/>
  <c r="DM45" i="1" a="1"/>
  <c r="DM45" i="1" s="1"/>
  <c r="DL50" i="1" a="1"/>
  <c r="DL50" i="1" s="1"/>
  <c r="DM50" i="1" a="1"/>
  <c r="DM50" i="1" s="1"/>
  <c r="DL108" i="1" a="1"/>
  <c r="DL108" i="1" s="1"/>
  <c r="DM108" i="1" a="1"/>
  <c r="DM108" i="1" s="1"/>
  <c r="DM216" i="1" a="1"/>
  <c r="DM216" i="1" s="1"/>
  <c r="DL216" i="1" a="1"/>
  <c r="DL216" i="1" s="1"/>
  <c r="DM255" i="1" a="1"/>
  <c r="DM255" i="1" s="1"/>
  <c r="DL255" i="1" a="1"/>
  <c r="DL255" i="1" s="1"/>
  <c r="DL71" i="1" a="1"/>
  <c r="DL71" i="1" s="1"/>
  <c r="DM71" i="1" a="1"/>
  <c r="DM71" i="1" s="1"/>
  <c r="DM8" i="1" a="1"/>
  <c r="DM8" i="1" s="1"/>
  <c r="DL8" i="1" a="1"/>
  <c r="DL8" i="1" s="1"/>
  <c r="DL22" i="1" a="1"/>
  <c r="DL22" i="1" s="1"/>
  <c r="DM22" i="1" a="1"/>
  <c r="DM22" i="1" s="1"/>
  <c r="DL114" i="1" a="1"/>
  <c r="DL114" i="1" s="1"/>
  <c r="DM114" i="1" a="1"/>
  <c r="DM114" i="1" s="1"/>
  <c r="DL27" i="1" a="1"/>
  <c r="DL27" i="1" s="1"/>
  <c r="DM27" i="1" a="1"/>
  <c r="DM27" i="1" s="1"/>
  <c r="DL235" i="1" a="1"/>
  <c r="DL235" i="1" s="1"/>
  <c r="DM235" i="1" a="1"/>
  <c r="DM235" i="1" s="1"/>
  <c r="DM194" i="1" a="1"/>
  <c r="DM194" i="1" s="1"/>
  <c r="DL194" i="1" a="1"/>
  <c r="DL194" i="1" s="1"/>
  <c r="DL140" i="1" a="1"/>
  <c r="DL140" i="1" s="1"/>
  <c r="DM140" i="1" a="1"/>
  <c r="DM140" i="1" s="1"/>
  <c r="DL52" i="1" a="1"/>
  <c r="DL52" i="1" s="1"/>
  <c r="DM52" i="1" a="1"/>
  <c r="DM52" i="1" s="1"/>
  <c r="DM226" i="1" a="1"/>
  <c r="DM226" i="1" s="1"/>
  <c r="DL226" i="1" a="1"/>
  <c r="DL226" i="1" s="1"/>
  <c r="DM150" i="1" a="1"/>
  <c r="DM150" i="1" s="1"/>
  <c r="DL150" i="1" a="1"/>
  <c r="DL150" i="1" s="1"/>
  <c r="DM72" i="1" a="1"/>
  <c r="DM72" i="1" s="1"/>
  <c r="DL72" i="1" a="1"/>
  <c r="DL72" i="1" s="1"/>
  <c r="DL225" i="1" a="1"/>
  <c r="DL225" i="1" s="1"/>
  <c r="DM225" i="1" a="1"/>
  <c r="DM225" i="1" s="1"/>
  <c r="DL14" i="1" a="1"/>
  <c r="DL14" i="1" s="1"/>
  <c r="DM14" i="1" a="1"/>
  <c r="DM14" i="1" s="1"/>
  <c r="DL98" i="1" a="1"/>
  <c r="DL98" i="1" s="1"/>
  <c r="DM98" i="1" a="1"/>
  <c r="DM98" i="1" s="1"/>
  <c r="DM174" i="1" a="1"/>
  <c r="DM174" i="1" s="1"/>
  <c r="DL174" i="1" a="1"/>
  <c r="DL174" i="1" s="1"/>
  <c r="DL84" i="1" a="1"/>
  <c r="DL84" i="1" s="1"/>
  <c r="DM84" i="1" a="1"/>
  <c r="DM84" i="1" s="1"/>
  <c r="DL232" i="1" a="1"/>
  <c r="DL232" i="1" s="1"/>
  <c r="DM232" i="1" a="1"/>
  <c r="DM232" i="1" s="1"/>
  <c r="DM118" i="1" a="1"/>
  <c r="DM118" i="1" s="1"/>
  <c r="DL118" i="1" a="1"/>
  <c r="DL118" i="1" s="1"/>
  <c r="DL132" i="1" a="1"/>
  <c r="DL132" i="1" s="1"/>
  <c r="DM132" i="1" a="1"/>
  <c r="DM132" i="1" s="1"/>
  <c r="DM134" i="1" a="1"/>
  <c r="DM134" i="1" s="1"/>
  <c r="DL134" i="1" a="1"/>
  <c r="DL134" i="1" s="1"/>
  <c r="DM222" i="1" a="1"/>
  <c r="DM222" i="1" s="1"/>
  <c r="DL222" i="1" a="1"/>
  <c r="DL222" i="1" s="1"/>
  <c r="DL271" i="1" a="1"/>
  <c r="DL271" i="1" s="1"/>
  <c r="DM271" i="1" a="1"/>
  <c r="DM271" i="1" s="1"/>
  <c r="DL97" i="1" a="1"/>
  <c r="DL97" i="1" s="1"/>
  <c r="DM97" i="1" a="1"/>
  <c r="DM97" i="1" s="1"/>
  <c r="DL133" i="1" a="1"/>
  <c r="DL133" i="1" s="1"/>
  <c r="DM133" i="1" a="1"/>
  <c r="DM133" i="1" s="1"/>
  <c r="DM233" i="1" a="1"/>
  <c r="DM233" i="1" s="1"/>
  <c r="DL233" i="1" a="1"/>
  <c r="DL233" i="1" s="1"/>
  <c r="DL143" i="1" a="1"/>
  <c r="DL143" i="1" s="1"/>
  <c r="DM143" i="1" a="1"/>
  <c r="DM143" i="1" s="1"/>
  <c r="DM176" i="1" a="1"/>
  <c r="DM176" i="1" s="1"/>
  <c r="DL176" i="1" a="1"/>
  <c r="DL176" i="1" s="1"/>
  <c r="DL120" i="1" a="1"/>
  <c r="DL120" i="1" s="1"/>
  <c r="DM120" i="1" a="1"/>
  <c r="DM120" i="1" s="1"/>
  <c r="DL60" i="1" a="1"/>
  <c r="DL60" i="1" s="1"/>
  <c r="DM60" i="1" a="1"/>
  <c r="DM60" i="1" s="1"/>
  <c r="DL18" i="1" a="1"/>
  <c r="DL18" i="1" s="1"/>
  <c r="DM18" i="1" a="1"/>
  <c r="DM18" i="1" s="1"/>
  <c r="DL117" i="1" a="1"/>
  <c r="DL117" i="1" s="1"/>
  <c r="DM117" i="1" a="1"/>
  <c r="DM117" i="1" s="1"/>
  <c r="DM188" i="1" a="1"/>
  <c r="DM188" i="1" s="1"/>
  <c r="DL188" i="1" a="1"/>
  <c r="DL188" i="1" s="1"/>
  <c r="DL96" i="1" a="1"/>
  <c r="DL96" i="1" s="1"/>
  <c r="DM96" i="1" a="1"/>
  <c r="DM96" i="1" s="1"/>
  <c r="DL180" i="1" a="1"/>
  <c r="DL180" i="1" s="1"/>
  <c r="DM180" i="1" a="1"/>
  <c r="DM180" i="1" s="1"/>
  <c r="DL103" i="1" a="1"/>
  <c r="DL103" i="1" s="1"/>
  <c r="DM103" i="1" a="1"/>
  <c r="DM103" i="1" s="1"/>
  <c r="DL76" i="1" a="1"/>
  <c r="DL76" i="1" s="1"/>
  <c r="DM76" i="1" a="1"/>
  <c r="DM76" i="1" s="1"/>
  <c r="DL268" i="1" a="1"/>
  <c r="DL268" i="1" s="1"/>
  <c r="DM268" i="1" a="1"/>
  <c r="DM268" i="1" s="1"/>
  <c r="DL75" i="1" a="1"/>
  <c r="DL75" i="1" s="1"/>
  <c r="DM75" i="1" a="1"/>
  <c r="DM75" i="1" s="1"/>
  <c r="DL135" i="1" a="1"/>
  <c r="DL135" i="1" s="1"/>
  <c r="DM135" i="1" a="1"/>
  <c r="DM135" i="1" s="1"/>
  <c r="DL29" i="1" a="1"/>
  <c r="DL29" i="1" s="1"/>
  <c r="DM29" i="1" a="1"/>
  <c r="DM29" i="1" s="1"/>
  <c r="DL262" i="1" a="1"/>
  <c r="DL262" i="1" s="1"/>
  <c r="DM262" i="1" a="1"/>
  <c r="DM262" i="1" s="1"/>
  <c r="DL167" i="1" a="1"/>
  <c r="DL167" i="1" s="1"/>
  <c r="DM167" i="1" a="1"/>
  <c r="DM167" i="1" s="1"/>
  <c r="DL128" i="1" a="1"/>
  <c r="DL128" i="1" s="1"/>
  <c r="DM128" i="1" a="1"/>
  <c r="DM128" i="1" s="1"/>
  <c r="DL65" i="1" a="1"/>
  <c r="DL65" i="1" s="1"/>
  <c r="DM65" i="1" a="1"/>
  <c r="DM65" i="1" s="1"/>
  <c r="DM214" i="1" a="1"/>
  <c r="DM214" i="1" s="1"/>
  <c r="DL214" i="1" a="1"/>
  <c r="DL214" i="1" s="1"/>
  <c r="DL157" i="1" a="1"/>
  <c r="DL157" i="1" s="1"/>
  <c r="DM157" i="1" a="1"/>
  <c r="DM157" i="1" s="1"/>
  <c r="DM15" i="1" a="1"/>
  <c r="DM15" i="1" s="1"/>
  <c r="DL15" i="1" a="1"/>
  <c r="DL15" i="1" s="1"/>
  <c r="DL159" i="1" a="1"/>
  <c r="DL159" i="1" s="1"/>
  <c r="DM159" i="1" a="1"/>
  <c r="DM159" i="1" s="1"/>
  <c r="DM218" i="1" a="1"/>
  <c r="DM218" i="1" s="1"/>
  <c r="DL218" i="1" a="1"/>
  <c r="DL218" i="1" s="1"/>
  <c r="DV180" i="1" l="1"/>
  <c r="DV90" i="1"/>
  <c r="DV7" i="1"/>
  <c r="DO113" i="1"/>
  <c r="DO258" i="1"/>
  <c r="DV258" i="1"/>
  <c r="DV113" i="1"/>
  <c r="DP14" i="1"/>
  <c r="DP127" i="1"/>
  <c r="DP124" i="1"/>
  <c r="DV127" i="1"/>
  <c r="DQ127" i="1"/>
  <c r="DQ210" i="1"/>
  <c r="DQ112" i="1"/>
  <c r="DP95" i="1"/>
  <c r="DV210" i="1"/>
  <c r="DQ13" i="1"/>
  <c r="DQ209" i="1"/>
  <c r="DV13" i="1"/>
  <c r="DP210" i="1"/>
  <c r="DP13" i="1"/>
  <c r="DQ95" i="1"/>
  <c r="DV95" i="1"/>
  <c r="DV209" i="1"/>
  <c r="DQ79" i="1"/>
  <c r="DV124" i="1"/>
  <c r="DQ250" i="1"/>
  <c r="DQ124" i="1"/>
  <c r="DV79" i="1"/>
  <c r="DP209" i="1"/>
  <c r="DV250" i="1"/>
  <c r="DP55" i="1"/>
  <c r="DP115" i="1"/>
  <c r="DP256" i="1"/>
  <c r="DP78" i="1"/>
  <c r="DP68" i="1"/>
  <c r="DP186" i="1"/>
  <c r="DP175" i="1"/>
  <c r="DP153" i="1"/>
  <c r="DP116" i="1"/>
  <c r="DP79" i="1"/>
  <c r="DP46" i="1"/>
  <c r="DP92" i="1"/>
  <c r="DP219" i="1"/>
  <c r="DP173" i="1"/>
  <c r="DP90" i="1"/>
  <c r="DP89" i="1"/>
  <c r="DP250" i="1"/>
  <c r="DP231" i="1"/>
  <c r="DP11" i="1"/>
  <c r="DP148" i="1"/>
  <c r="DP270" i="1"/>
  <c r="DP161" i="1"/>
  <c r="DP102" i="1"/>
  <c r="DP9" i="1"/>
  <c r="DP7" i="1"/>
  <c r="DP121" i="1"/>
  <c r="DP109" i="1"/>
  <c r="DV112" i="1"/>
  <c r="DP238" i="1"/>
  <c r="DP99" i="1"/>
  <c r="DP41" i="1"/>
  <c r="DP82" i="1"/>
  <c r="DP37" i="1"/>
  <c r="DP44" i="1"/>
  <c r="DP130" i="1"/>
  <c r="DP119" i="1"/>
  <c r="DP252" i="1"/>
  <c r="DP237" i="1"/>
  <c r="DP73" i="1"/>
  <c r="DP38" i="1"/>
  <c r="DP201" i="1"/>
  <c r="DP244" i="1"/>
  <c r="DP195" i="1"/>
  <c r="DP177" i="1"/>
  <c r="DP267" i="1"/>
  <c r="DO267" i="1" s="1"/>
  <c r="DP112" i="1"/>
  <c r="DP183" i="1"/>
  <c r="DP179" i="1"/>
  <c r="DP203" i="1"/>
  <c r="DP54" i="1"/>
  <c r="DP32" i="1"/>
  <c r="DP211" i="1"/>
  <c r="DP246" i="1"/>
  <c r="DP105" i="1"/>
  <c r="DP249" i="1"/>
  <c r="DP111" i="1"/>
  <c r="DP87" i="1"/>
  <c r="DP35" i="1"/>
  <c r="DP257" i="1"/>
  <c r="DP213" i="1"/>
  <c r="DP245" i="1"/>
  <c r="DP110" i="1"/>
  <c r="DP144" i="1"/>
  <c r="DP80" i="1"/>
  <c r="DP229" i="1"/>
  <c r="DP123" i="1"/>
  <c r="DP154" i="1"/>
  <c r="DP236" i="1"/>
  <c r="DP193" i="1"/>
  <c r="DP165" i="1"/>
  <c r="DP43" i="1"/>
  <c r="DP234" i="1"/>
  <c r="DP241" i="1"/>
  <c r="DP93" i="1"/>
  <c r="DP16" i="1"/>
  <c r="DP106" i="1"/>
  <c r="DP217" i="1"/>
  <c r="DP227" i="1"/>
  <c r="DP53" i="1"/>
  <c r="DP260" i="1"/>
  <c r="DP248" i="1"/>
  <c r="DP114" i="1"/>
  <c r="DP34" i="1"/>
  <c r="DP131" i="1"/>
  <c r="DP108" i="1"/>
  <c r="DP23" i="1"/>
  <c r="DP22" i="1"/>
  <c r="DP125" i="1"/>
  <c r="DP101" i="1"/>
  <c r="DP199" i="1"/>
  <c r="DP197" i="1"/>
  <c r="DP21" i="1"/>
  <c r="DP253" i="1"/>
  <c r="DP132" i="1"/>
  <c r="DP96" i="1"/>
  <c r="DP77" i="1"/>
  <c r="DP45" i="1"/>
  <c r="DP254" i="1"/>
  <c r="DP71" i="1"/>
  <c r="DP147" i="1"/>
  <c r="DP122" i="1"/>
  <c r="DP20" i="1"/>
  <c r="DP136" i="1"/>
  <c r="DP141" i="1"/>
  <c r="DP146" i="1"/>
  <c r="DP171" i="1"/>
  <c r="DP52" i="1"/>
  <c r="DP187" i="1"/>
  <c r="DP65" i="1"/>
  <c r="DP215" i="1"/>
  <c r="DP69" i="1"/>
  <c r="DP189" i="1"/>
  <c r="DP91" i="1"/>
  <c r="DP27" i="1"/>
  <c r="DP184" i="1"/>
  <c r="DP39" i="1"/>
  <c r="DP242" i="1"/>
  <c r="DP261" i="1"/>
  <c r="DP85" i="1"/>
  <c r="DP117" i="1"/>
  <c r="DP235" i="1"/>
  <c r="DP62" i="1"/>
  <c r="DP98" i="1"/>
  <c r="DP225" i="1"/>
  <c r="DP143" i="1"/>
  <c r="DP126" i="1"/>
  <c r="DP15" i="1"/>
  <c r="DP233" i="1"/>
  <c r="DP222" i="1"/>
  <c r="DP226" i="1"/>
  <c r="DP8" i="1"/>
  <c r="DP216" i="1"/>
  <c r="DP220" i="1"/>
  <c r="DP162" i="1"/>
  <c r="DP33" i="1"/>
  <c r="DP200" i="1"/>
  <c r="DP164" i="1"/>
  <c r="DP74" i="1"/>
  <c r="DP263" i="1"/>
  <c r="DP269" i="1"/>
  <c r="DP17" i="1"/>
  <c r="DP166" i="1"/>
  <c r="DP208" i="1"/>
  <c r="DP88" i="1"/>
  <c r="DP172" i="1"/>
  <c r="DP128" i="1"/>
  <c r="DP135" i="1"/>
  <c r="DP103" i="1"/>
  <c r="DP60" i="1"/>
  <c r="DP232" i="1"/>
  <c r="DP48" i="1"/>
  <c r="DP104" i="1"/>
  <c r="DP100" i="1"/>
  <c r="DP221" i="1"/>
  <c r="DP169" i="1"/>
  <c r="DP223" i="1"/>
  <c r="DP140" i="1"/>
  <c r="DP151" i="1"/>
  <c r="DP264" i="1"/>
  <c r="DP107" i="1"/>
  <c r="DP188" i="1"/>
  <c r="DP134" i="1"/>
  <c r="DP118" i="1"/>
  <c r="DP150" i="1"/>
  <c r="DP194" i="1"/>
  <c r="DP26" i="1"/>
  <c r="DP10" i="1"/>
  <c r="DP31" i="1"/>
  <c r="DP137" i="1"/>
  <c r="DP168" i="1"/>
  <c r="DP58" i="1"/>
  <c r="DP247" i="1"/>
  <c r="DP190" i="1"/>
  <c r="DP182" i="1"/>
  <c r="DP63" i="1"/>
  <c r="DP191" i="1"/>
  <c r="DP142" i="1"/>
  <c r="DP243" i="1"/>
  <c r="DP42" i="1"/>
  <c r="DP228" i="1"/>
  <c r="DP81" i="1"/>
  <c r="DP196" i="1"/>
  <c r="DP70" i="1"/>
  <c r="DP19" i="1"/>
  <c r="DP178" i="1"/>
  <c r="DP224" i="1"/>
  <c r="DP230" i="1"/>
  <c r="DP145" i="1"/>
  <c r="DP24" i="1"/>
  <c r="DP47" i="1"/>
  <c r="DP198" i="1"/>
  <c r="DP156" i="1"/>
  <c r="DP202" i="1"/>
  <c r="DP206" i="1"/>
  <c r="DP218" i="1"/>
  <c r="DP214" i="1"/>
  <c r="DP176" i="1"/>
  <c r="DP174" i="1"/>
  <c r="DP72" i="1"/>
  <c r="DP255" i="1"/>
  <c r="DP266" i="1"/>
  <c r="DP152" i="1"/>
  <c r="DP251" i="1"/>
  <c r="DP40" i="1"/>
  <c r="DP212" i="1"/>
  <c r="DP170" i="1"/>
  <c r="DP204" i="1"/>
  <c r="DP192" i="1"/>
  <c r="DP129" i="1"/>
  <c r="DP259" i="1"/>
  <c r="DP239" i="1"/>
  <c r="DP56" i="1"/>
  <c r="DP49" i="1"/>
  <c r="DP160" i="1"/>
  <c r="DP158" i="1"/>
  <c r="DP262" i="1"/>
  <c r="DP185" i="1"/>
  <c r="DP51" i="1"/>
  <c r="DP97" i="1"/>
  <c r="DP94" i="1"/>
  <c r="DP59" i="1"/>
  <c r="DP66" i="1"/>
  <c r="DP240" i="1"/>
  <c r="DP61" i="1"/>
  <c r="DP155" i="1"/>
  <c r="DP205" i="1"/>
  <c r="DP207" i="1"/>
  <c r="DP86" i="1"/>
  <c r="DP268" i="1"/>
  <c r="DP138" i="1"/>
  <c r="DP139" i="1"/>
  <c r="DP30" i="1"/>
  <c r="DP149" i="1"/>
  <c r="DP36" i="1"/>
  <c r="DP181" i="1"/>
  <c r="DP64" i="1"/>
  <c r="DP163" i="1"/>
  <c r="DP67" i="1"/>
  <c r="DP28" i="1"/>
  <c r="DP50" i="1"/>
  <c r="DP83" i="1"/>
  <c r="DP12" i="1"/>
  <c r="DP265" i="1"/>
  <c r="DP57" i="1"/>
  <c r="DP159" i="1"/>
  <c r="DP157" i="1"/>
  <c r="DP167" i="1"/>
  <c r="DP29" i="1"/>
  <c r="DP75" i="1"/>
  <c r="DP76" i="1"/>
  <c r="DP180" i="1"/>
  <c r="DP18" i="1"/>
  <c r="DP120" i="1"/>
  <c r="DP133" i="1"/>
  <c r="DP271" i="1"/>
  <c r="DP84" i="1"/>
  <c r="DV267" i="1"/>
  <c r="DQ270" i="1"/>
  <c r="DV270" i="1"/>
  <c r="DQ190" i="1"/>
  <c r="DV190" i="1"/>
  <c r="DQ68" i="1"/>
  <c r="DV68" i="1"/>
  <c r="DQ101" i="1"/>
  <c r="DV101" i="1"/>
  <c r="DQ108" i="1"/>
  <c r="DV108" i="1"/>
  <c r="DQ70" i="1"/>
  <c r="DV70" i="1"/>
  <c r="DQ218" i="1"/>
  <c r="DV218" i="1"/>
  <c r="DQ152" i="1"/>
  <c r="DV152" i="1"/>
  <c r="DQ76" i="1"/>
  <c r="DV76" i="1"/>
  <c r="DQ213" i="1"/>
  <c r="DV213" i="1"/>
  <c r="DQ191" i="1"/>
  <c r="DV191" i="1"/>
  <c r="DQ65" i="1"/>
  <c r="DV65" i="1"/>
  <c r="DQ167" i="1"/>
  <c r="DV167" i="1"/>
  <c r="DQ176" i="1"/>
  <c r="DV176" i="1"/>
  <c r="DQ204" i="1"/>
  <c r="DV204" i="1"/>
  <c r="DQ151" i="1"/>
  <c r="DV151" i="1"/>
  <c r="DQ199" i="1"/>
  <c r="DV199" i="1"/>
  <c r="DQ181" i="1"/>
  <c r="DV181" i="1"/>
  <c r="DQ222" i="1"/>
  <c r="DV222" i="1"/>
  <c r="DQ219" i="1"/>
  <c r="DV219" i="1"/>
  <c r="DQ111" i="1"/>
  <c r="DV111" i="1"/>
  <c r="DQ93" i="1"/>
  <c r="DV93" i="1"/>
  <c r="DQ78" i="1"/>
  <c r="DV78" i="1"/>
  <c r="DQ220" i="1"/>
  <c r="DV220" i="1"/>
  <c r="DQ221" i="1"/>
  <c r="DV221" i="1"/>
  <c r="DQ38" i="1"/>
  <c r="DV38" i="1"/>
  <c r="DQ36" i="1"/>
  <c r="DV36" i="1"/>
  <c r="DQ116" i="1"/>
  <c r="DV116" i="1"/>
  <c r="DQ120" i="1"/>
  <c r="DV120" i="1"/>
  <c r="DQ100" i="1"/>
  <c r="DV100" i="1"/>
  <c r="DQ212" i="1"/>
  <c r="DV212" i="1"/>
  <c r="DQ195" i="1"/>
  <c r="DV195" i="1"/>
  <c r="DQ198" i="1"/>
  <c r="DV198" i="1"/>
  <c r="DQ56" i="1"/>
  <c r="DV56" i="1"/>
  <c r="DQ45" i="1"/>
  <c r="DV45" i="1"/>
  <c r="DQ28" i="1"/>
  <c r="DV28" i="1"/>
  <c r="DQ88" i="1"/>
  <c r="DV88" i="1"/>
  <c r="DQ214" i="1"/>
  <c r="DV214" i="1"/>
  <c r="DQ255" i="1"/>
  <c r="DV255" i="1"/>
  <c r="DQ148" i="1"/>
  <c r="DV148" i="1"/>
  <c r="DQ147" i="1"/>
  <c r="DV147" i="1"/>
  <c r="DQ138" i="1"/>
  <c r="DV138" i="1"/>
  <c r="DQ177" i="1"/>
  <c r="DV177" i="1"/>
  <c r="DQ203" i="1"/>
  <c r="DV203" i="1"/>
  <c r="DQ67" i="1"/>
  <c r="DV67" i="1"/>
  <c r="DQ58" i="1"/>
  <c r="DV58" i="1"/>
  <c r="DQ89" i="1"/>
  <c r="DV89" i="1"/>
  <c r="DQ133" i="1"/>
  <c r="DV133" i="1"/>
  <c r="DQ266" i="1"/>
  <c r="DV266" i="1"/>
  <c r="DQ202" i="1"/>
  <c r="DV202" i="1"/>
  <c r="DQ232" i="1"/>
  <c r="DV232" i="1"/>
  <c r="DQ249" i="1"/>
  <c r="DV249" i="1"/>
  <c r="DQ235" i="1"/>
  <c r="DV235" i="1"/>
  <c r="DQ261" i="1"/>
  <c r="DV261" i="1"/>
  <c r="DQ239" i="1"/>
  <c r="DV239" i="1"/>
  <c r="DQ259" i="1"/>
  <c r="DV259" i="1"/>
  <c r="DQ237" i="1"/>
  <c r="DV237" i="1"/>
  <c r="DQ129" i="1"/>
  <c r="DV129" i="1"/>
  <c r="DQ10" i="1"/>
  <c r="DV10" i="1"/>
  <c r="DQ139" i="1"/>
  <c r="DV139" i="1"/>
  <c r="DQ175" i="1"/>
  <c r="DV175" i="1"/>
  <c r="DQ211" i="1"/>
  <c r="DV211" i="1"/>
  <c r="DQ49" i="1"/>
  <c r="DV49" i="1"/>
  <c r="DQ83" i="1"/>
  <c r="DV83" i="1"/>
  <c r="DQ37" i="1"/>
  <c r="DV37" i="1"/>
  <c r="DQ46" i="1"/>
  <c r="DV46" i="1"/>
  <c r="DQ30" i="1"/>
  <c r="DV30" i="1"/>
  <c r="DQ215" i="1"/>
  <c r="DV215" i="1"/>
  <c r="DQ179" i="1"/>
  <c r="DV179" i="1"/>
  <c r="DQ96" i="1"/>
  <c r="DV96" i="1"/>
  <c r="DQ131" i="1"/>
  <c r="DV131" i="1"/>
  <c r="DQ128" i="1"/>
  <c r="DV128" i="1"/>
  <c r="DQ122" i="1"/>
  <c r="DV122" i="1"/>
  <c r="DQ119" i="1"/>
  <c r="DV119" i="1"/>
  <c r="DQ189" i="1"/>
  <c r="DV189" i="1"/>
  <c r="DQ162" i="1"/>
  <c r="DV162" i="1"/>
  <c r="DQ71" i="1"/>
  <c r="DV71" i="1"/>
  <c r="DQ98" i="1"/>
  <c r="DV98" i="1"/>
  <c r="DQ132" i="1"/>
  <c r="DV132" i="1"/>
  <c r="DQ69" i="1"/>
  <c r="DV69" i="1"/>
  <c r="DQ121" i="1"/>
  <c r="DV121" i="1"/>
  <c r="DQ205" i="1"/>
  <c r="DV205" i="1"/>
  <c r="DQ21" i="1"/>
  <c r="DV21" i="1"/>
  <c r="DQ216" i="1"/>
  <c r="DV216" i="1"/>
  <c r="DQ145" i="1"/>
  <c r="DV145" i="1"/>
  <c r="DQ41" i="1"/>
  <c r="DV41" i="1"/>
  <c r="DQ102" i="1"/>
  <c r="DV102" i="1"/>
  <c r="DQ27" i="1"/>
  <c r="DV27" i="1"/>
  <c r="DQ174" i="1"/>
  <c r="DV174" i="1"/>
  <c r="DQ92" i="1"/>
  <c r="DV92" i="1"/>
  <c r="DQ156" i="1"/>
  <c r="DV156" i="1"/>
  <c r="DQ130" i="1"/>
  <c r="DV130" i="1"/>
  <c r="DQ84" i="1"/>
  <c r="DV84" i="1"/>
  <c r="DQ125" i="1"/>
  <c r="DV125" i="1"/>
  <c r="DQ97" i="1"/>
  <c r="DV97" i="1"/>
  <c r="DQ99" i="1"/>
  <c r="DV99" i="1"/>
  <c r="DQ62" i="1"/>
  <c r="DV62" i="1"/>
  <c r="DQ7" i="1"/>
  <c r="DQ17" i="1"/>
  <c r="DV17" i="1"/>
  <c r="DQ82" i="1"/>
  <c r="DV82" i="1"/>
  <c r="DQ172" i="1"/>
  <c r="DV172" i="1"/>
  <c r="DQ107" i="1"/>
  <c r="DV107" i="1"/>
  <c r="DQ105" i="1"/>
  <c r="DV105" i="1"/>
  <c r="DQ118" i="1"/>
  <c r="DV118" i="1"/>
  <c r="DQ136" i="1"/>
  <c r="DV136" i="1"/>
  <c r="DQ196" i="1"/>
  <c r="DV196" i="1"/>
  <c r="DQ12" i="1"/>
  <c r="DV12" i="1"/>
  <c r="DQ231" i="1"/>
  <c r="DV231" i="1"/>
  <c r="DQ224" i="1"/>
  <c r="DV224" i="1"/>
  <c r="DQ253" i="1"/>
  <c r="DV253" i="1"/>
  <c r="DQ247" i="1"/>
  <c r="DV247" i="1"/>
  <c r="DQ226" i="1"/>
  <c r="DV226" i="1"/>
  <c r="DQ256" i="1"/>
  <c r="DV256" i="1"/>
  <c r="DQ230" i="1"/>
  <c r="DV230" i="1"/>
  <c r="DQ262" i="1"/>
  <c r="DV262" i="1"/>
  <c r="DQ248" i="1"/>
  <c r="DV248" i="1"/>
  <c r="DQ254" i="1"/>
  <c r="DV254" i="1"/>
  <c r="DQ268" i="1"/>
  <c r="DV268" i="1"/>
  <c r="DQ161" i="1"/>
  <c r="DV161" i="1"/>
  <c r="DQ197" i="1"/>
  <c r="DV197" i="1"/>
  <c r="DQ206" i="1"/>
  <c r="DV206" i="1"/>
  <c r="DQ194" i="1"/>
  <c r="DV194" i="1"/>
  <c r="DQ170" i="1"/>
  <c r="DV170" i="1"/>
  <c r="DQ81" i="1"/>
  <c r="DV81" i="1"/>
  <c r="DQ29" i="1"/>
  <c r="DV29" i="1"/>
  <c r="DQ137" i="1"/>
  <c r="DV137" i="1"/>
  <c r="DQ20" i="1"/>
  <c r="DV20" i="1"/>
  <c r="DQ50" i="1"/>
  <c r="DV50" i="1"/>
  <c r="DQ31" i="1"/>
  <c r="DV31" i="1"/>
  <c r="DQ184" i="1"/>
  <c r="DV184" i="1"/>
  <c r="DQ103" i="1"/>
  <c r="DV103" i="1"/>
  <c r="DQ153" i="1"/>
  <c r="DV153" i="1"/>
  <c r="DQ9" i="1"/>
  <c r="DV9" i="1"/>
  <c r="DQ23" i="1"/>
  <c r="DV23" i="1"/>
  <c r="DQ188" i="1"/>
  <c r="DV188" i="1"/>
  <c r="DQ200" i="1"/>
  <c r="DV200" i="1"/>
  <c r="DQ168" i="1"/>
  <c r="DV168" i="1"/>
  <c r="DQ144" i="1"/>
  <c r="DV144" i="1"/>
  <c r="DQ72" i="1"/>
  <c r="DV72" i="1"/>
  <c r="DQ123" i="1"/>
  <c r="DV123" i="1"/>
  <c r="DQ155" i="1"/>
  <c r="DV155" i="1"/>
  <c r="DQ166" i="1"/>
  <c r="DV166" i="1"/>
  <c r="DQ186" i="1"/>
  <c r="DV186" i="1"/>
  <c r="DQ185" i="1"/>
  <c r="DV185" i="1"/>
  <c r="DQ187" i="1"/>
  <c r="DV187" i="1"/>
  <c r="DQ159" i="1"/>
  <c r="DV159" i="1"/>
  <c r="DQ164" i="1"/>
  <c r="DV164" i="1"/>
  <c r="DQ24" i="1"/>
  <c r="DV24" i="1"/>
  <c r="DQ143" i="1"/>
  <c r="DV143" i="1"/>
  <c r="DQ59" i="1"/>
  <c r="DV59" i="1"/>
  <c r="DQ114" i="1"/>
  <c r="DV114" i="1"/>
  <c r="DQ8" i="1"/>
  <c r="DV8" i="1"/>
  <c r="DQ223" i="1"/>
  <c r="DV223" i="1"/>
  <c r="DQ51" i="1"/>
  <c r="DV51" i="1"/>
  <c r="DQ85" i="1"/>
  <c r="DV85" i="1"/>
  <c r="DQ141" i="1"/>
  <c r="DV141" i="1"/>
  <c r="DQ39" i="1"/>
  <c r="DV39" i="1"/>
  <c r="DQ11" i="1"/>
  <c r="DV11" i="1"/>
  <c r="DQ106" i="1"/>
  <c r="DV106" i="1"/>
  <c r="DQ57" i="1"/>
  <c r="DV57" i="1"/>
  <c r="DQ193" i="1"/>
  <c r="DV193" i="1"/>
  <c r="DQ178" i="1"/>
  <c r="DV178" i="1"/>
  <c r="DQ32" i="1"/>
  <c r="DV32" i="1"/>
  <c r="DQ14" i="1"/>
  <c r="DV14" i="1"/>
  <c r="DQ64" i="1"/>
  <c r="DV64" i="1"/>
  <c r="DQ163" i="1"/>
  <c r="DV163" i="1"/>
  <c r="DQ154" i="1"/>
  <c r="DV154" i="1"/>
  <c r="DQ19" i="1"/>
  <c r="DV19" i="1"/>
  <c r="DQ91" i="1"/>
  <c r="DV91" i="1"/>
  <c r="DQ117" i="1"/>
  <c r="DV117" i="1"/>
  <c r="DQ257" i="1"/>
  <c r="DV257" i="1"/>
  <c r="DQ243" i="1"/>
  <c r="DV243" i="1"/>
  <c r="DQ260" i="1"/>
  <c r="DV260" i="1"/>
  <c r="DQ228" i="1"/>
  <c r="DV228" i="1"/>
  <c r="DQ263" i="1"/>
  <c r="DV263" i="1"/>
  <c r="DQ227" i="1"/>
  <c r="DV227" i="1"/>
  <c r="DQ240" i="1"/>
  <c r="DV240" i="1"/>
  <c r="DQ234" i="1"/>
  <c r="DV234" i="1"/>
  <c r="DQ225" i="1"/>
  <c r="DV225" i="1"/>
  <c r="DQ233" i="1"/>
  <c r="DV233" i="1"/>
  <c r="DQ265" i="1"/>
  <c r="DV265" i="1"/>
  <c r="DQ160" i="1"/>
  <c r="DV160" i="1"/>
  <c r="DQ63" i="1"/>
  <c r="DV63" i="1"/>
  <c r="DQ40" i="1"/>
  <c r="DV40" i="1"/>
  <c r="DQ104" i="1"/>
  <c r="DV104" i="1"/>
  <c r="DQ25" i="1"/>
  <c r="DO25" i="1" s="1"/>
  <c r="DV25" i="1"/>
  <c r="DQ242" i="1"/>
  <c r="DV242" i="1"/>
  <c r="DQ252" i="1"/>
  <c r="DV252" i="1"/>
  <c r="DQ171" i="1"/>
  <c r="DV171" i="1"/>
  <c r="DQ173" i="1"/>
  <c r="DV173" i="1"/>
  <c r="DQ55" i="1"/>
  <c r="DV55" i="1"/>
  <c r="DQ44" i="1"/>
  <c r="DV44" i="1"/>
  <c r="DQ53" i="1"/>
  <c r="DV53" i="1"/>
  <c r="DQ110" i="1"/>
  <c r="DV110" i="1"/>
  <c r="DQ157" i="1"/>
  <c r="DV157" i="1"/>
  <c r="DQ126" i="1"/>
  <c r="DV126" i="1"/>
  <c r="DQ180" i="1"/>
  <c r="DQ142" i="1"/>
  <c r="DV142" i="1"/>
  <c r="DQ61" i="1"/>
  <c r="DV61" i="1"/>
  <c r="DQ22" i="1"/>
  <c r="DV22" i="1"/>
  <c r="DQ73" i="1"/>
  <c r="DV73" i="1"/>
  <c r="DQ35" i="1"/>
  <c r="DV35" i="1"/>
  <c r="DQ165" i="1"/>
  <c r="DV165" i="1"/>
  <c r="DQ26" i="1"/>
  <c r="DV26" i="1"/>
  <c r="DQ90" i="1"/>
  <c r="DQ74" i="1"/>
  <c r="DV74" i="1"/>
  <c r="DQ86" i="1"/>
  <c r="DV86" i="1"/>
  <c r="DQ208" i="1"/>
  <c r="DV208" i="1"/>
  <c r="DQ146" i="1"/>
  <c r="DV146" i="1"/>
  <c r="DQ80" i="1"/>
  <c r="DV80" i="1"/>
  <c r="DQ33" i="1"/>
  <c r="DV33" i="1"/>
  <c r="DQ42" i="1"/>
  <c r="DV42" i="1"/>
  <c r="DQ149" i="1"/>
  <c r="DV149" i="1"/>
  <c r="DQ134" i="1"/>
  <c r="DV134" i="1"/>
  <c r="DQ18" i="1"/>
  <c r="DV18" i="1"/>
  <c r="DQ207" i="1"/>
  <c r="DV207" i="1"/>
  <c r="DQ192" i="1"/>
  <c r="DV192" i="1"/>
  <c r="DQ135" i="1"/>
  <c r="DV135" i="1"/>
  <c r="DQ77" i="1"/>
  <c r="DV77" i="1"/>
  <c r="DQ54" i="1"/>
  <c r="DV54" i="1"/>
  <c r="DQ109" i="1"/>
  <c r="DV109" i="1"/>
  <c r="DQ43" i="1"/>
  <c r="DV43" i="1"/>
  <c r="DQ15" i="1"/>
  <c r="DV15" i="1"/>
  <c r="DQ60" i="1"/>
  <c r="DV60" i="1"/>
  <c r="DQ183" i="1"/>
  <c r="DV183" i="1"/>
  <c r="DQ201" i="1"/>
  <c r="DV201" i="1"/>
  <c r="DQ217" i="1"/>
  <c r="DV217" i="1"/>
  <c r="DQ16" i="1"/>
  <c r="DV16" i="1"/>
  <c r="DQ150" i="1"/>
  <c r="DV150" i="1"/>
  <c r="DQ47" i="1"/>
  <c r="DV47" i="1"/>
  <c r="DQ115" i="1"/>
  <c r="DV115" i="1"/>
  <c r="DQ87" i="1"/>
  <c r="DV87" i="1"/>
  <c r="DQ94" i="1"/>
  <c r="DV94" i="1"/>
  <c r="DQ169" i="1"/>
  <c r="DV169" i="1"/>
  <c r="DQ269" i="1"/>
  <c r="DV269" i="1"/>
  <c r="DQ236" i="1"/>
  <c r="DV236" i="1"/>
  <c r="DQ271" i="1"/>
  <c r="DV271" i="1"/>
  <c r="DQ241" i="1"/>
  <c r="DV241" i="1"/>
  <c r="DQ264" i="1"/>
  <c r="DV264" i="1"/>
  <c r="DQ246" i="1"/>
  <c r="DV246" i="1"/>
  <c r="DQ229" i="1"/>
  <c r="DV229" i="1"/>
  <c r="DQ244" i="1"/>
  <c r="DV244" i="1"/>
  <c r="DQ251" i="1"/>
  <c r="DV251" i="1"/>
  <c r="DQ238" i="1"/>
  <c r="DV238" i="1"/>
  <c r="DQ245" i="1"/>
  <c r="DV245" i="1"/>
  <c r="DQ75" i="1"/>
  <c r="DV75" i="1"/>
  <c r="DQ48" i="1"/>
  <c r="DV48" i="1"/>
  <c r="DQ182" i="1"/>
  <c r="DV182" i="1"/>
  <c r="DQ34" i="1"/>
  <c r="DV34" i="1"/>
  <c r="DQ158" i="1"/>
  <c r="DV158" i="1"/>
  <c r="DQ52" i="1"/>
  <c r="DV52" i="1"/>
  <c r="DQ66" i="1"/>
  <c r="DV66" i="1"/>
  <c r="DQ140" i="1"/>
  <c r="DV140" i="1"/>
  <c r="DO209" i="1" l="1"/>
  <c r="DO13" i="1"/>
  <c r="DO79" i="1"/>
  <c r="DO112" i="1"/>
  <c r="DO250" i="1"/>
  <c r="DO127" i="1"/>
  <c r="DO133" i="1"/>
  <c r="DO138" i="1"/>
  <c r="DO152" i="1"/>
  <c r="DO205" i="1"/>
  <c r="DO66" i="1"/>
  <c r="DO51" i="1"/>
  <c r="DO160" i="1"/>
  <c r="DO259" i="1"/>
  <c r="DO47" i="1"/>
  <c r="DO196" i="1"/>
  <c r="DO243" i="1"/>
  <c r="DO182" i="1"/>
  <c r="DO26" i="1"/>
  <c r="DO134" i="1"/>
  <c r="DO151" i="1"/>
  <c r="DO128" i="1"/>
  <c r="DO166" i="1"/>
  <c r="DO74" i="1"/>
  <c r="DO162" i="1"/>
  <c r="DO226" i="1"/>
  <c r="DO126" i="1"/>
  <c r="DO261" i="1"/>
  <c r="DO27" i="1"/>
  <c r="DO215" i="1"/>
  <c r="DO23" i="1"/>
  <c r="DO227" i="1"/>
  <c r="DO93" i="1"/>
  <c r="DO123" i="1"/>
  <c r="DO110" i="1"/>
  <c r="DO35" i="1"/>
  <c r="DO54" i="1"/>
  <c r="DO244" i="1"/>
  <c r="DO44" i="1"/>
  <c r="DO99" i="1"/>
  <c r="DO231" i="1"/>
  <c r="DO173" i="1"/>
  <c r="DO14" i="1"/>
  <c r="DO76" i="1"/>
  <c r="DO67" i="1"/>
  <c r="DO224" i="1"/>
  <c r="DO120" i="1"/>
  <c r="DO75" i="1"/>
  <c r="DO159" i="1"/>
  <c r="DO83" i="1"/>
  <c r="DO163" i="1"/>
  <c r="DO149" i="1"/>
  <c r="DO268" i="1"/>
  <c r="DO155" i="1"/>
  <c r="DO59" i="1"/>
  <c r="DO185" i="1"/>
  <c r="DO49" i="1"/>
  <c r="DO129" i="1"/>
  <c r="DO212" i="1"/>
  <c r="DO266" i="1"/>
  <c r="DO176" i="1"/>
  <c r="DO202" i="1"/>
  <c r="DO24" i="1"/>
  <c r="DO178" i="1"/>
  <c r="DO81" i="1"/>
  <c r="DO142" i="1"/>
  <c r="DO190" i="1"/>
  <c r="DO137" i="1"/>
  <c r="DO194" i="1"/>
  <c r="DO188" i="1"/>
  <c r="DO140" i="1"/>
  <c r="DO100" i="1"/>
  <c r="DO60" i="1"/>
  <c r="DO172" i="1"/>
  <c r="DO17" i="1"/>
  <c r="DO164" i="1"/>
  <c r="DO220" i="1"/>
  <c r="DO222" i="1"/>
  <c r="DO143" i="1"/>
  <c r="DO235" i="1"/>
  <c r="DO242" i="1"/>
  <c r="DO91" i="1"/>
  <c r="DO65" i="1"/>
  <c r="DO146" i="1"/>
  <c r="DO122" i="1"/>
  <c r="DO45" i="1"/>
  <c r="DO253" i="1"/>
  <c r="DO101" i="1"/>
  <c r="DO108" i="1"/>
  <c r="DO248" i="1"/>
  <c r="DO217" i="1"/>
  <c r="DO241" i="1"/>
  <c r="DO193" i="1"/>
  <c r="DO229" i="1"/>
  <c r="DO245" i="1"/>
  <c r="DO87" i="1"/>
  <c r="DO246" i="1"/>
  <c r="DO203" i="1"/>
  <c r="DO201" i="1"/>
  <c r="DO252" i="1"/>
  <c r="DO37" i="1"/>
  <c r="DO238" i="1"/>
  <c r="DO7" i="1"/>
  <c r="DO270" i="1"/>
  <c r="DO219" i="1"/>
  <c r="DO116" i="1"/>
  <c r="DO68" i="1"/>
  <c r="DO55" i="1"/>
  <c r="DO210" i="1"/>
  <c r="DO12" i="1"/>
  <c r="DO174" i="1"/>
  <c r="DO168" i="1"/>
  <c r="DO232" i="1"/>
  <c r="DO20" i="1"/>
  <c r="DO254" i="1"/>
  <c r="DO199" i="1"/>
  <c r="DO114" i="1"/>
  <c r="DO237" i="1"/>
  <c r="DO161" i="1"/>
  <c r="DO115" i="1"/>
  <c r="DO84" i="1"/>
  <c r="DO18" i="1"/>
  <c r="DO29" i="1"/>
  <c r="DO57" i="1"/>
  <c r="DO50" i="1"/>
  <c r="DO64" i="1"/>
  <c r="DO30" i="1"/>
  <c r="DO86" i="1"/>
  <c r="DO61" i="1"/>
  <c r="DO94" i="1"/>
  <c r="DO262" i="1"/>
  <c r="DO56" i="1"/>
  <c r="DO192" i="1"/>
  <c r="DO40" i="1"/>
  <c r="DO255" i="1"/>
  <c r="DO214" i="1"/>
  <c r="DO156" i="1"/>
  <c r="DO145" i="1"/>
  <c r="DO19" i="1"/>
  <c r="DO228" i="1"/>
  <c r="DO191" i="1"/>
  <c r="DO247" i="1"/>
  <c r="DO31" i="1"/>
  <c r="DO150" i="1"/>
  <c r="DO107" i="1"/>
  <c r="DO223" i="1"/>
  <c r="DO104" i="1"/>
  <c r="DO103" i="1"/>
  <c r="DO88" i="1"/>
  <c r="DO269" i="1"/>
  <c r="DO200" i="1"/>
  <c r="DO216" i="1"/>
  <c r="DO233" i="1"/>
  <c r="DO225" i="1"/>
  <c r="DO117" i="1"/>
  <c r="DO39" i="1"/>
  <c r="DO189" i="1"/>
  <c r="DO187" i="1"/>
  <c r="DO141" i="1"/>
  <c r="DO147" i="1"/>
  <c r="DO77" i="1"/>
  <c r="DO21" i="1"/>
  <c r="DO125" i="1"/>
  <c r="DO131" i="1"/>
  <c r="DO260" i="1"/>
  <c r="DO106" i="1"/>
  <c r="DO234" i="1"/>
  <c r="DO236" i="1"/>
  <c r="DO80" i="1"/>
  <c r="DO213" i="1"/>
  <c r="DO111" i="1"/>
  <c r="DO211" i="1"/>
  <c r="DO179" i="1"/>
  <c r="DO177" i="1"/>
  <c r="DO38" i="1"/>
  <c r="DO119" i="1"/>
  <c r="DO82" i="1"/>
  <c r="DO9" i="1"/>
  <c r="DO148" i="1"/>
  <c r="DO89" i="1"/>
  <c r="DO92" i="1"/>
  <c r="DO153" i="1"/>
  <c r="DO78" i="1"/>
  <c r="DO95" i="1"/>
  <c r="DO157" i="1"/>
  <c r="DO36" i="1"/>
  <c r="DO170" i="1"/>
  <c r="DO206" i="1"/>
  <c r="DO221" i="1"/>
  <c r="DO62" i="1"/>
  <c r="DO171" i="1"/>
  <c r="DO132" i="1"/>
  <c r="DO165" i="1"/>
  <c r="DO105" i="1"/>
  <c r="DO121" i="1"/>
  <c r="DO186" i="1"/>
  <c r="DO271" i="1"/>
  <c r="DO180" i="1"/>
  <c r="DO167" i="1"/>
  <c r="DO265" i="1"/>
  <c r="DO28" i="1"/>
  <c r="DO181" i="1"/>
  <c r="DO139" i="1"/>
  <c r="DO207" i="1"/>
  <c r="DO240" i="1"/>
  <c r="DO97" i="1"/>
  <c r="DO158" i="1"/>
  <c r="DO239" i="1"/>
  <c r="DO204" i="1"/>
  <c r="DO251" i="1"/>
  <c r="DO72" i="1"/>
  <c r="DO218" i="1"/>
  <c r="DO198" i="1"/>
  <c r="DO230" i="1"/>
  <c r="DO70" i="1"/>
  <c r="DO42" i="1"/>
  <c r="DO63" i="1"/>
  <c r="DO58" i="1"/>
  <c r="DO10" i="1"/>
  <c r="DO118" i="1"/>
  <c r="DO264" i="1"/>
  <c r="DO169" i="1"/>
  <c r="DO48" i="1"/>
  <c r="DO135" i="1"/>
  <c r="DO208" i="1"/>
  <c r="DO263" i="1"/>
  <c r="DO33" i="1"/>
  <c r="DO8" i="1"/>
  <c r="DO15" i="1"/>
  <c r="DO98" i="1"/>
  <c r="DO85" i="1"/>
  <c r="DO184" i="1"/>
  <c r="DO69" i="1"/>
  <c r="DO52" i="1"/>
  <c r="DO136" i="1"/>
  <c r="DO71" i="1"/>
  <c r="DO96" i="1"/>
  <c r="DO197" i="1"/>
  <c r="DO22" i="1"/>
  <c r="DO34" i="1"/>
  <c r="DO53" i="1"/>
  <c r="DO16" i="1"/>
  <c r="DO43" i="1"/>
  <c r="DO154" i="1"/>
  <c r="DO144" i="1"/>
  <c r="DO257" i="1"/>
  <c r="DO249" i="1"/>
  <c r="DO32" i="1"/>
  <c r="DO183" i="1"/>
  <c r="DO195" i="1"/>
  <c r="DO73" i="1"/>
  <c r="DO130" i="1"/>
  <c r="DO41" i="1"/>
  <c r="DO109" i="1"/>
  <c r="DO102" i="1"/>
  <c r="DO11" i="1"/>
  <c r="DO90" i="1"/>
  <c r="DO46" i="1"/>
  <c r="DO175" i="1"/>
  <c r="DO256" i="1"/>
  <c r="DO1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2"/>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<sst xmlns="http://schemas.openxmlformats.org/spreadsheetml/2006/main" count="1599" uniqueCount="1196">
  <si>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</si>
  <si>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</si>
  <si>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</si>
  <si>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</si>
  <si>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</si>
  <si>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</si>
  <si>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</si>
  <si>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</si>
  <si>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</si>
  <si>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</si>
  <si>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</si>
  <si>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</si>
  <si>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</si>
  <si>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</si>
  <si>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</si>
  <si>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</si>
  <si>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</si>
  <si>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</si>
  <si>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</si>
  <si>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</si>
  <si>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</si>
  <si>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</si>
  <si>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</si>
  <si>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</si>
  <si>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</si>
  <si>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</si>
  <si>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</si>
  <si>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</si>
  <si>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</si>
  <si>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</si>
  <si>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</si>
  <si>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</si>
  <si>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</si>
  <si>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</si>
  <si>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</si>
  <si>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</si>
  <si>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</si>
  <si>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</si>
  <si>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</si>
  <si>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</si>
  <si>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</si>
  <si>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</si>
  <si>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</si>
  <si>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</si>
  <si>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</si>
  <si>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</si>
  <si>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</si>
  <si>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</si>
  <si>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</si>
  <si>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</si>
  <si>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</si>
  <si>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</si>
  <si>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</si>
  <si>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</si>
  <si>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</si>
  <si>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</si>
  <si>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</si>
  <si>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</si>
  <si>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</si>
  <si>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</si>
  <si>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</si>
  <si>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</si>
  <si>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</si>
  <si>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</si>
  <si>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</si>
  <si>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</si>
  <si>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</si>
  <si>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</si>
  <si>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</si>
  <si>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</si>
  <si>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</si>
  <si>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</si>
  <si>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</si>
  <si>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</si>
  <si>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</si>
  <si>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</si>
  <si>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</si>
  <si>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</si>
  <si>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</si>
  <si>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</si>
  <si>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</si>
  <si>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</si>
  <si>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</si>
  <si>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</si>
  <si>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</si>
  <si>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</si>
  <si>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</si>
  <si>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</si>
  <si>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</si>
  <si>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</si>
  <si>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</si>
  <si>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</si>
  <si>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</si>
  <si>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</si>
  <si>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</si>
  <si>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</si>
  <si>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</si>
  <si>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</si>
  <si>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</si>
  <si>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</si>
  <si>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</si>
  <si>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</si>
  <si>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</si>
  <si>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</si>
  <si>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</si>
  <si>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</si>
  <si>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</si>
  <si>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</si>
  <si>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</si>
  <si>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</si>
  <si>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</si>
  <si>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</si>
  <si>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</si>
  <si>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</si>
  <si>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</si>
  <si>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</si>
  <si>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</si>
  <si>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</si>
  <si>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</si>
  <si>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</si>
  <si>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</si>
  <si>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</si>
  <si>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</si>
  <si>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</si>
  <si>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</si>
  <si>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</si>
  <si>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</si>
  <si>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</si>
  <si>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</si>
  <si>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</si>
  <si>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</si>
  <si>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</si>
  <si>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</si>
  <si>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</si>
  <si>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</si>
  <si>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</si>
  <si>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</si>
  <si>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</si>
  <si>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</si>
  <si>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</si>
  <si>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</si>
  <si>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</si>
  <si>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</si>
  <si>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</si>
  <si>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</si>
  <si>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</si>
  <si>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</si>
  <si>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</si>
  <si>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</si>
  <si>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</si>
  <si>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</si>
  <si>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</si>
  <si>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</si>
  <si>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</si>
  <si>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</si>
  <si>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</si>
  <si>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</si>
  <si>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</si>
  <si>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</si>
  <si>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</si>
  <si>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</si>
  <si>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</si>
  <si>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</si>
  <si>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</si>
  <si>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</si>
  <si>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</si>
  <si>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</si>
  <si>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</si>
  <si>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</si>
  <si>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</si>
  <si>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</si>
  <si>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</si>
  <si>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</si>
  <si>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</si>
  <si>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</si>
  <si>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</si>
  <si>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</si>
  <si>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</si>
  <si>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</si>
  <si>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</si>
  <si>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</si>
  <si>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</si>
  <si>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</si>
  <si>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</si>
  <si>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</si>
  <si>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</si>
  <si>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</si>
  <si>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</si>
  <si>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</si>
  <si>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</si>
  <si>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</si>
  <si>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</si>
  <si>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</si>
  <si>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</si>
  <si>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</si>
  <si>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</si>
  <si>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</si>
  <si>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</si>
  <si>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</si>
  <si>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</si>
  <si>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</si>
  <si>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</si>
  <si>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</si>
  <si>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</si>
  <si>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</si>
  <si>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</si>
  <si>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</si>
  <si>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</si>
  <si>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</si>
  <si>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</si>
  <si>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</si>
  <si>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</si>
  <si>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</si>
  <si>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</si>
  <si>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</si>
  <si>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</si>
  <si>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</si>
  <si>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</si>
  <si>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</si>
  <si>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</si>
  <si>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</si>
  <si>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</si>
  <si>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</si>
  <si>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</si>
  <si>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</si>
  <si>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</si>
  <si>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</si>
  <si>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</si>
  <si>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</si>
  <si>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</si>
  <si>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</si>
  <si>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</si>
  <si>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</si>
  <si>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</si>
  <si>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</si>
  <si>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</si>
  <si>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</si>
  <si>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</si>
  <si>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</si>
  <si>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</si>
  <si>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</si>
  <si>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</si>
  <si>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</si>
  <si>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</si>
  <si>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</si>
  <si>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</si>
  <si>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</si>
  <si>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</si>
  <si>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</si>
  <si>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</si>
  <si>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</si>
  <si>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</si>
  <si>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</si>
  <si>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</si>
  <si>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</si>
  <si>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</si>
  <si>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</si>
  <si>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</si>
  <si>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</si>
  <si>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</si>
  <si>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</si>
  <si>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</si>
  <si>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</si>
  <si>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</si>
  <si>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</si>
  <si>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</si>
  <si>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</si>
  <si>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</si>
  <si>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</si>
  <si>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</si>
  <si>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</si>
  <si>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</si>
  <si>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</si>
  <si>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</si>
  <si>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</si>
  <si>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</si>
  <si>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</si>
  <si>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</si>
  <si>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Maior</t>
  </si>
  <si>
    <t>k(17)</t>
  </si>
  <si>
    <t>k (33)</t>
  </si>
  <si>
    <t>k (65)</t>
  </si>
  <si>
    <t>k (17)</t>
  </si>
  <si>
    <t>k (65</t>
  </si>
  <si>
    <t>Volume</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</si>
  <si>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</si>
  <si>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</si>
  <si>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</si>
  <si>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</si>
  <si>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</si>
  <si>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</si>
  <si>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</si>
  <si>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</si>
  <si>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</si>
  <si>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</si>
  <si>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</si>
  <si>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</si>
  <si>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</si>
  <si>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</si>
  <si>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</si>
  <si>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</si>
  <si>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</si>
  <si>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</si>
  <si>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</si>
  <si>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</si>
  <si>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</si>
  <si>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</si>
  <si>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</si>
  <si>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</si>
  <si>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</si>
  <si>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</si>
  <si>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</si>
  <si>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</si>
  <si>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</si>
  <si>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</si>
  <si>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</si>
  <si>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</si>
  <si>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</si>
  <si>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</si>
  <si>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</si>
  <si>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</si>
  <si>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</si>
  <si>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</si>
  <si>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</si>
  <si>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</si>
  <si>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</si>
  <si>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</si>
  <si>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</si>
  <si>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</si>
  <si>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</si>
  <si>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</si>
  <si>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</si>
  <si>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</si>
  <si>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</si>
  <si>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</si>
  <si>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</si>
  <si>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</si>
  <si>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</si>
  <si>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</si>
  <si>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</si>
  <si>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</si>
  <si>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</si>
  <si>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</si>
  <si>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</si>
  <si>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</si>
  <si>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</si>
  <si>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</si>
  <si>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</si>
  <si>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</si>
  <si>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</si>
  <si>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</si>
  <si>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</si>
  <si>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</si>
  <si>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</si>
  <si>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</si>
  <si>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</si>
  <si>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</si>
  <si>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</si>
  <si>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</si>
  <si>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</si>
  <si>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</si>
  <si>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</si>
  <si>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</si>
  <si>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</si>
  <si>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</si>
  <si>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</si>
  <si>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</si>
  <si>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</si>
  <si>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</si>
  <si>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</si>
  <si>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</si>
  <si>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</si>
  <si>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</si>
  <si>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</si>
  <si>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</si>
  <si>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</si>
  <si>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</si>
  <si>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</si>
  <si>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</si>
  <si>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</si>
  <si>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</si>
  <si>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</si>
  <si>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</si>
  <si>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</si>
  <si>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</si>
  <si>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</si>
  <si>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</si>
  <si>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</si>
  <si>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</si>
  <si>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</si>
  <si>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</si>
  <si>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</si>
  <si>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</si>
  <si>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</si>
  <si>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</si>
  <si>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</si>
  <si>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</si>
  <si>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</si>
  <si>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</si>
  <si>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</si>
  <si>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</si>
  <si>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</si>
  <si>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</si>
  <si>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</si>
  <si>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</si>
  <si>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</si>
  <si>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</si>
  <si>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</si>
  <si>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</si>
  <si>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</si>
  <si>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</si>
  <si>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</si>
  <si>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</si>
  <si>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</si>
  <si>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</si>
  <si>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</si>
  <si>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</si>
  <si>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</si>
  <si>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</si>
  <si>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</si>
  <si>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</si>
  <si>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</si>
  <si>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</si>
  <si>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</si>
  <si>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</si>
  <si>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</si>
  <si>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</si>
  <si>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</si>
  <si>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</si>
  <si>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</si>
  <si>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</si>
  <si>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</si>
  <si>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</si>
  <si>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</si>
  <si>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</si>
  <si>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</si>
  <si>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</si>
  <si>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</si>
  <si>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</si>
  <si>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</si>
  <si>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</si>
  <si>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</si>
  <si>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</si>
  <si>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</si>
  <si>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</si>
  <si>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</si>
  <si>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</si>
  <si>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</si>
  <si>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</si>
  <si>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</si>
  <si>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</si>
  <si>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</si>
  <si>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</si>
  <si>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</si>
  <si>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</si>
  <si>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</si>
  <si>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</si>
  <si>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</si>
  <si>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</si>
  <si>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</si>
  <si>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</si>
  <si>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</si>
  <si>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</si>
  <si>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</si>
  <si>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</si>
  <si>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</si>
  <si>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</si>
  <si>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</si>
  <si>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</si>
  <si>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</si>
  <si>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ROIC (capital)</t>
  </si>
  <si>
    <t>Caixa (Liq. Corr)</t>
  </si>
  <si>
    <t>Lucro</t>
  </si>
  <si>
    <t>Valor Patr.</t>
  </si>
  <si>
    <t>Cap. Giro</t>
  </si>
  <si>
    <t>Ticker</t>
  </si>
  <si>
    <t>Var (%)</t>
  </si>
  <si>
    <t>Baixo (R$)</t>
  </si>
  <si>
    <t>Alto (R$)</t>
  </si>
  <si>
    <t>Justo (R$)</t>
  </si>
  <si>
    <t>Margem Liq (%)</t>
  </si>
  <si>
    <t>Mín (R$)</t>
  </si>
  <si>
    <t>Média (R$)</t>
  </si>
  <si>
    <t>Max (R$)</t>
  </si>
  <si>
    <t>S3 (R$)</t>
  </si>
  <si>
    <t>S2 (R$)</t>
  </si>
  <si>
    <t>S1 (R$)</t>
  </si>
  <si>
    <t>Pivô (R$)</t>
  </si>
  <si>
    <t>R1 (R$)</t>
  </si>
  <si>
    <t>R2 (R$)</t>
  </si>
  <si>
    <t>R3 (R$)</t>
  </si>
  <si>
    <t>Suporte (R$)</t>
  </si>
  <si>
    <t>Resistência (R$)</t>
  </si>
  <si>
    <t>Média Volume</t>
  </si>
  <si>
    <t>(-)</t>
  </si>
  <si>
    <t>(+)</t>
  </si>
  <si>
    <t>Posição</t>
  </si>
  <si>
    <t>GOLD11</t>
  </si>
  <si>
    <t>CTAX3</t>
  </si>
  <si>
    <t>MWET3</t>
  </si>
  <si>
    <t>ELET5</t>
  </si>
  <si>
    <t>Acm (%)</t>
  </si>
  <si>
    <t>Spread (%)</t>
  </si>
  <si>
    <t>trf55                                               ç4444444444444445x</t>
  </si>
  <si>
    <t>Alvo</t>
  </si>
  <si>
    <t>BTC-USD</t>
  </si>
  <si>
    <t>ETH-USD</t>
  </si>
  <si>
    <t>ACWI11</t>
  </si>
  <si>
    <t>AGRI11</t>
  </si>
  <si>
    <t>ALUG11</t>
  </si>
  <si>
    <t>BBOV11</t>
  </si>
  <si>
    <t>BBSD11</t>
  </si>
  <si>
    <t>BDEF11</t>
  </si>
  <si>
    <t>BDOM11</t>
  </si>
  <si>
    <t>BITH11</t>
  </si>
  <si>
    <t>BMMT11</t>
  </si>
  <si>
    <t>BOVA11</t>
  </si>
  <si>
    <t>BOVB11</t>
  </si>
  <si>
    <t>BOVV11</t>
  </si>
  <si>
    <t>BOVX11</t>
  </si>
  <si>
    <t>BRAX11</t>
  </si>
  <si>
    <t>BXPO11</t>
  </si>
  <si>
    <t>CMDB11</t>
  </si>
  <si>
    <t>CORN11</t>
  </si>
  <si>
    <t>DIVO11</t>
  </si>
  <si>
    <t>DOLA11</t>
  </si>
  <si>
    <t>ECOO11</t>
  </si>
  <si>
    <t>ESGB11</t>
  </si>
  <si>
    <t>ETHE11</t>
  </si>
  <si>
    <t>FIND11</t>
  </si>
  <si>
    <t>GENB11</t>
  </si>
  <si>
    <t>GOVE11</t>
  </si>
  <si>
    <t>HASH11</t>
  </si>
  <si>
    <t>HTEK11</t>
  </si>
  <si>
    <t>IBOB11</t>
  </si>
  <si>
    <t>IRFM11</t>
  </si>
  <si>
    <t>ISUS11</t>
  </si>
  <si>
    <t>IVVB11</t>
  </si>
  <si>
    <t>JOGO11</t>
  </si>
  <si>
    <t>LFTS11</t>
  </si>
  <si>
    <t>MATB11</t>
  </si>
  <si>
    <t>MILL11</t>
  </si>
  <si>
    <t>NASD11</t>
  </si>
  <si>
    <t>PIBB11</t>
  </si>
  <si>
    <t>QBTC11</t>
  </si>
  <si>
    <t>QETH11</t>
  </si>
  <si>
    <t>REVE11</t>
  </si>
  <si>
    <t>SMAB11</t>
  </si>
  <si>
    <t>SMAC11</t>
  </si>
  <si>
    <t>SMAL11</t>
  </si>
  <si>
    <t>SOLH11</t>
  </si>
  <si>
    <t>SPXB11</t>
  </si>
  <si>
    <t>SPXI11</t>
  </si>
  <si>
    <t>TECK11</t>
  </si>
  <si>
    <t>TRIG11</t>
  </si>
  <si>
    <t>USTK11</t>
  </si>
  <si>
    <t>WRLD11</t>
  </si>
  <si>
    <t>XBOV11</t>
  </si>
  <si>
    <t>XFIX11</t>
  </si>
  <si>
    <t>XINA11</t>
  </si>
  <si>
    <t>YDRO11</t>
  </si>
  <si>
    <t>MXRF11</t>
  </si>
  <si>
    <t>XPML11</t>
  </si>
  <si>
    <t>HGLG11</t>
  </si>
  <si>
    <t>KNCR11</t>
  </si>
  <si>
    <t>VGHF11</t>
  </si>
  <si>
    <t>BTLG11</t>
  </si>
  <si>
    <t>CPTS11</t>
  </si>
  <si>
    <t>VISC11</t>
  </si>
  <si>
    <t>XPLG11</t>
  </si>
  <si>
    <t>KNRI11</t>
  </si>
  <si>
    <t>IRDM11</t>
  </si>
  <si>
    <t>GARE11</t>
  </si>
  <si>
    <t>VGIR11</t>
  </si>
  <si>
    <t>HGRU11</t>
  </si>
  <si>
    <t>RECR11</t>
  </si>
  <si>
    <t>PVBI11</t>
  </si>
  <si>
    <t>TGAR11</t>
  </si>
  <si>
    <t>HGBS11</t>
  </si>
  <si>
    <t>MCCI11</t>
  </si>
  <si>
    <t>KNIP11</t>
  </si>
  <si>
    <t>SOL-USD</t>
  </si>
  <si>
    <t>9.44</t>
  </si>
  <si>
    <t>6.73</t>
  </si>
  <si>
    <t>7.35</t>
  </si>
  <si>
    <t>13.88</t>
  </si>
  <si>
    <t>15.02</t>
  </si>
  <si>
    <t>45.27</t>
  </si>
  <si>
    <t>41.75</t>
  </si>
  <si>
    <t>71.17</t>
  </si>
  <si>
    <t>111.35</t>
  </si>
  <si>
    <t>132.52</t>
  </si>
  <si>
    <t>116.57</t>
  </si>
  <si>
    <t>147.2</t>
  </si>
  <si>
    <t>127.09</t>
  </si>
  <si>
    <t>133.5</t>
  </si>
  <si>
    <t>138.76</t>
  </si>
  <si>
    <t>139.68</t>
  </si>
  <si>
    <t>114.04</t>
  </si>
  <si>
    <t>134.58</t>
  </si>
  <si>
    <t>13.36</t>
  </si>
  <si>
    <t>101.1</t>
  </si>
  <si>
    <t>10.45</t>
  </si>
  <si>
    <t>123.98</t>
  </si>
  <si>
    <t>107.96</t>
  </si>
  <si>
    <t>47.51</t>
  </si>
  <si>
    <t>144.33</t>
  </si>
  <si>
    <t>19.2</t>
  </si>
  <si>
    <t>19.48</t>
  </si>
  <si>
    <t>59.28</t>
  </si>
  <si>
    <t>86.21</t>
  </si>
  <si>
    <t>50.64</t>
  </si>
  <si>
    <t>111.95</t>
  </si>
  <si>
    <t>90.69</t>
  </si>
  <si>
    <t>37.48</t>
  </si>
  <si>
    <t>388.8</t>
  </si>
  <si>
    <t>143.8</t>
  </si>
  <si>
    <t>136.22</t>
  </si>
  <si>
    <t>50.6</t>
  </si>
  <si>
    <t>78.1</t>
  </si>
  <si>
    <t>17.62</t>
  </si>
  <si>
    <t>240.4</t>
  </si>
  <si>
    <t>38.7</t>
  </si>
  <si>
    <t>11.47</t>
  </si>
  <si>
    <t>65.21</t>
  </si>
  <si>
    <t>7.76</t>
  </si>
  <si>
    <t>54.8</t>
  </si>
  <si>
    <t>105.3</t>
  </si>
  <si>
    <t>25.33</t>
  </si>
  <si>
    <t>15.22</t>
  </si>
  <si>
    <t>378.45</t>
  </si>
  <si>
    <t>107.13</t>
  </si>
  <si>
    <t>43.64</t>
  </si>
  <si>
    <t>16.77</t>
  </si>
  <si>
    <t>128.49</t>
  </si>
  <si>
    <t>133.48</t>
  </si>
  <si>
    <t>12.33</t>
  </si>
  <si>
    <t>7.83</t>
  </si>
  <si>
    <t>36.01</t>
  </si>
  <si>
    <t>100.21</t>
  </si>
  <si>
    <t>8.92</t>
  </si>
  <si>
    <t>19.43</t>
  </si>
  <si>
    <t>156.33</t>
  </si>
  <si>
    <t>125</t>
  </si>
  <si>
    <t>67.28</t>
  </si>
  <si>
    <t>103.33</t>
  </si>
  <si>
    <t>88.22</t>
  </si>
  <si>
    <t>144.99</t>
  </si>
  <si>
    <t>87.15</t>
  </si>
  <si>
    <t>9.49</t>
  </si>
  <si>
    <t>77.23</t>
  </si>
  <si>
    <t>84.65</t>
  </si>
  <si>
    <t>89.4</t>
  </si>
  <si>
    <t>7.68</t>
  </si>
  <si>
    <t>104.52</t>
  </si>
  <si>
    <t>100.14</t>
  </si>
  <si>
    <t>104</t>
  </si>
  <si>
    <t>BNB-USD</t>
  </si>
  <si>
    <t>ADA-USD</t>
  </si>
  <si>
    <t>XRP-USD</t>
  </si>
  <si>
    <t>MMMC34</t>
  </si>
  <si>
    <t>A1BB34</t>
  </si>
  <si>
    <t>ABTT34</t>
  </si>
  <si>
    <t>ABBV34</t>
  </si>
  <si>
    <t>ABAM34</t>
  </si>
  <si>
    <t>A2SO34</t>
  </si>
  <si>
    <t>ACNB34</t>
  </si>
  <si>
    <t>ATVI34</t>
  </si>
  <si>
    <t>A2HC34</t>
  </si>
  <si>
    <t>ADBE34</t>
  </si>
  <si>
    <t>A1AP34</t>
  </si>
  <si>
    <t>A1MD34</t>
  </si>
  <si>
    <t>A1EG34</t>
  </si>
  <si>
    <t>A1ES34</t>
  </si>
  <si>
    <t>A1FL34</t>
  </si>
  <si>
    <t>A1GI34</t>
  </si>
  <si>
    <t>A1PD34</t>
  </si>
  <si>
    <t>AIRB34</t>
  </si>
  <si>
    <t>A1KA34</t>
  </si>
  <si>
    <t>AKZA34</t>
  </si>
  <si>
    <t>A1LK34</t>
  </si>
  <si>
    <t>A1LB34</t>
  </si>
  <si>
    <t>A2LC34</t>
  </si>
  <si>
    <t>A1RE34</t>
  </si>
  <si>
    <t>BABA34</t>
  </si>
  <si>
    <t>A1LG34</t>
  </si>
  <si>
    <t>A1GN34</t>
  </si>
  <si>
    <t>ALFG34</t>
  </si>
  <si>
    <t>A1EN34</t>
  </si>
  <si>
    <t>M2DR34</t>
  </si>
  <si>
    <t>A1TT34</t>
  </si>
  <si>
    <t>A1LN34</t>
  </si>
  <si>
    <t>GOGL34</t>
  </si>
  <si>
    <t>GOGL35</t>
  </si>
  <si>
    <t>A1YX34</t>
  </si>
  <si>
    <t>MOOO34</t>
  </si>
  <si>
    <t>AMZO34</t>
  </si>
  <si>
    <t>A2MB34</t>
  </si>
  <si>
    <t>A2MC34</t>
  </si>
  <si>
    <t>A1CR34</t>
  </si>
  <si>
    <t>D2OX34</t>
  </si>
  <si>
    <t>A2ME34</t>
  </si>
  <si>
    <t>A1EE34</t>
  </si>
  <si>
    <t>AALL34</t>
  </si>
  <si>
    <t>A1EP34</t>
  </si>
  <si>
    <t>AXPB34</t>
  </si>
  <si>
    <t>AIGB34</t>
  </si>
  <si>
    <t>T1OW34</t>
  </si>
  <si>
    <t>A1WK34</t>
  </si>
  <si>
    <t>A1MP34</t>
  </si>
  <si>
    <t>A1MB34</t>
  </si>
  <si>
    <t>A1ME34</t>
  </si>
  <si>
    <t>AMGN34</t>
  </si>
  <si>
    <t>A1PH34</t>
  </si>
  <si>
    <t>A2MR34</t>
  </si>
  <si>
    <t>A1DI34</t>
  </si>
  <si>
    <t>AAGO34</t>
  </si>
  <si>
    <t>A1UA34</t>
  </si>
  <si>
    <t>ABUD34</t>
  </si>
  <si>
    <t>N2LY34</t>
  </si>
  <si>
    <t>A1NS34</t>
  </si>
  <si>
    <t>A1OS34</t>
  </si>
  <si>
    <t>A1ON34</t>
  </si>
  <si>
    <t>A1PA34</t>
  </si>
  <si>
    <t>A1IV34</t>
  </si>
  <si>
    <t>AAPL34</t>
  </si>
  <si>
    <t>A1MT34</t>
  </si>
  <si>
    <t>A2TR34</t>
  </si>
  <si>
    <t>APTV34</t>
  </si>
  <si>
    <t>ARMT34</t>
  </si>
  <si>
    <t>A1DM34</t>
  </si>
  <si>
    <t>A2RE34</t>
  </si>
  <si>
    <t>A1RG34</t>
  </si>
  <si>
    <t>A1NE34</t>
  </si>
  <si>
    <t>AWII34</t>
  </si>
  <si>
    <t>A2RW34</t>
  </si>
  <si>
    <t>A2RR34</t>
  </si>
  <si>
    <t>A1JG34</t>
  </si>
  <si>
    <t>A1SN34</t>
  </si>
  <si>
    <t>ASML34</t>
  </si>
  <si>
    <t>A1SU34</t>
  </si>
  <si>
    <t>A1ZN34</t>
  </si>
  <si>
    <t>ATTB34</t>
  </si>
  <si>
    <t>T1AM34</t>
  </si>
  <si>
    <t>A1TM34</t>
  </si>
  <si>
    <t>A1UT34</t>
  </si>
  <si>
    <t>A1TH34</t>
  </si>
  <si>
    <t>ADPR34</t>
  </si>
  <si>
    <t>AZOI34</t>
  </si>
  <si>
    <t>A1VB34</t>
  </si>
  <si>
    <t>A1VY34</t>
  </si>
  <si>
    <t>A2XO34</t>
  </si>
  <si>
    <t>A2ZT34</t>
  </si>
  <si>
    <t>118003.23</t>
  </si>
  <si>
    <t>3549.02</t>
  </si>
  <si>
    <t>177.38</t>
  </si>
  <si>
    <t>730.22</t>
  </si>
  <si>
    <t>0.82</t>
  </si>
  <si>
    <t>3.42</t>
  </si>
  <si>
    <t>21.16</t>
  </si>
  <si>
    <t>53.89</t>
  </si>
  <si>
    <t>665.97</t>
  </si>
  <si>
    <t>302.4</t>
  </si>
  <si>
    <t>271.35</t>
  </si>
  <si>
    <t>39.4</t>
  </si>
  <si>
    <t>335.2</t>
  </si>
  <si>
    <t>280.95</t>
  </si>
  <si>
    <t>75.04</t>
  </si>
  <si>
    <t>571.2</t>
  </si>
  <si>
    <t>327.86</t>
  </si>
  <si>
    <t>382.75</t>
  </si>
  <si>
    <t>48.61</t>
  </si>
  <si>
    <t>855</t>
  </si>
  <si>
    <t>35.3</t>
  </si>
  <si>
    <t>17.94</t>
  </si>
  <si>
    <t>281.24</t>
  </si>
  <si>
    <t>269.46</t>
  </si>
  <si>
    <t>85.74</t>
  </si>
  <si>
    <t>109.9</t>
  </si>
  <si>
    <t>42.16</t>
  </si>
  <si>
    <t>761.98</t>
  </si>
  <si>
    <t>106.16</t>
  </si>
  <si>
    <t>156.3</t>
  </si>
  <si>
    <t>481.2</t>
  </si>
  <si>
    <t>350</t>
  </si>
  <si>
    <t>111.98</t>
  </si>
  <si>
    <t>389.52</t>
  </si>
  <si>
    <t>282.24</t>
  </si>
  <si>
    <t>109.23</t>
  </si>
  <si>
    <t>125.4</t>
  </si>
  <si>
    <t>63.2</t>
  </si>
  <si>
    <t>264.16</t>
  </si>
  <si>
    <t>15.62</t>
  </si>
  <si>
    <t>417.9</t>
  </si>
  <si>
    <t>44.4</t>
  </si>
  <si>
    <t>404.44</t>
  </si>
  <si>
    <t>281.6</t>
  </si>
  <si>
    <t>531.81</t>
  </si>
  <si>
    <t>198.2</t>
  </si>
  <si>
    <t>63.96</t>
  </si>
  <si>
    <t>15.52</t>
  </si>
  <si>
    <t>102.02</t>
  </si>
  <si>
    <t>11.4</t>
  </si>
  <si>
    <t>46.65</t>
  </si>
  <si>
    <t>66.99</t>
  </si>
  <si>
    <t>233.22</t>
  </si>
  <si>
    <t>15.04</t>
  </si>
  <si>
    <t>69.8</t>
  </si>
  <si>
    <t>59.12</t>
  </si>
  <si>
    <t>65.87</t>
  </si>
  <si>
    <t>58</t>
  </si>
  <si>
    <t>63.06</t>
  </si>
  <si>
    <t>1568.23</t>
  </si>
  <si>
    <t>40.41</t>
  </si>
  <si>
    <t>69.35</t>
  </si>
  <si>
    <t>451</t>
  </si>
  <si>
    <t>38.84</t>
  </si>
  <si>
    <t>59.07</t>
  </si>
  <si>
    <t>63.22</t>
  </si>
  <si>
    <t>193.2</t>
  </si>
  <si>
    <t>90.45</t>
  </si>
  <si>
    <t>74.29</t>
  </si>
  <si>
    <t>49.98</t>
  </si>
  <si>
    <t>44.9</t>
  </si>
  <si>
    <t>886.86</t>
  </si>
  <si>
    <t>172.01</t>
  </si>
  <si>
    <t>94.23</t>
  </si>
  <si>
    <t>23.88</t>
  </si>
  <si>
    <t/>
  </si>
  <si>
    <t>86.37</t>
  </si>
  <si>
    <t>86.36</t>
  </si>
  <si>
    <t>212.99</t>
  </si>
  <si>
    <t>322.25</t>
  </si>
  <si>
    <t>111.1</t>
  </si>
  <si>
    <t>54.2</t>
  </si>
  <si>
    <t>52.3</t>
  </si>
  <si>
    <t>15.19</t>
  </si>
  <si>
    <t>42.12</t>
  </si>
  <si>
    <t>69.7</t>
  </si>
  <si>
    <t>109.17</t>
  </si>
  <si>
    <t>130.51</t>
  </si>
  <si>
    <t>114.84</t>
  </si>
  <si>
    <t>149.2</t>
  </si>
  <si>
    <t>124.86</t>
  </si>
  <si>
    <t>130.3</t>
  </si>
  <si>
    <t>135.91</t>
  </si>
  <si>
    <t>136.8</t>
  </si>
  <si>
    <t>13.62</t>
  </si>
  <si>
    <t>111.91</t>
  </si>
  <si>
    <t>132.02</t>
  </si>
  <si>
    <t>13.05</t>
  </si>
  <si>
    <t>6.65</t>
  </si>
  <si>
    <t>98.84</t>
  </si>
  <si>
    <t>10.55</t>
  </si>
  <si>
    <t>121.62</t>
  </si>
  <si>
    <t>105.73</t>
  </si>
  <si>
    <t>57.4</t>
  </si>
  <si>
    <t>141.02</t>
  </si>
  <si>
    <t>19.57</t>
  </si>
  <si>
    <t>19.55</t>
  </si>
  <si>
    <t>58.15</t>
  </si>
  <si>
    <t>90</t>
  </si>
  <si>
    <t>49.71</t>
  </si>
  <si>
    <t>109.7</t>
  </si>
  <si>
    <t>90.63</t>
  </si>
  <si>
    <t>36.74</t>
  </si>
  <si>
    <t>394.28</t>
  </si>
  <si>
    <t>151.1</t>
  </si>
  <si>
    <t>136.57</t>
  </si>
  <si>
    <t>49.77</t>
  </si>
  <si>
    <t>82.66</t>
  </si>
  <si>
    <t>17.93</t>
  </si>
  <si>
    <t>235.15</t>
  </si>
  <si>
    <t>39.18</t>
  </si>
  <si>
    <t>13.76</t>
  </si>
  <si>
    <t>65.91</t>
  </si>
  <si>
    <t>7.61</t>
  </si>
  <si>
    <t>54.05</t>
  </si>
  <si>
    <t>102.78</t>
  </si>
  <si>
    <t>27.03</t>
  </si>
  <si>
    <t>15.39</t>
  </si>
  <si>
    <t>383.57</t>
  </si>
  <si>
    <t>108.95</t>
  </si>
  <si>
    <t>42.67</t>
  </si>
  <si>
    <t>17.23</t>
  </si>
  <si>
    <t>130.02</t>
  </si>
  <si>
    <t>130.77</t>
  </si>
  <si>
    <t>12.26</t>
  </si>
  <si>
    <t>8.27</t>
  </si>
  <si>
    <t>35.55</t>
  </si>
  <si>
    <t>99.85</t>
  </si>
  <si>
    <t>7.34</t>
  </si>
  <si>
    <t>8.9</t>
  </si>
  <si>
    <t>19.3</t>
  </si>
  <si>
    <t>156.12</t>
  </si>
  <si>
    <t>124.72</t>
  </si>
  <si>
    <t>62.13</t>
  </si>
  <si>
    <t>104.26</t>
  </si>
  <si>
    <t>87.94</t>
  </si>
  <si>
    <t>144.72</t>
  </si>
  <si>
    <t>86.11</t>
  </si>
  <si>
    <t>9.5</t>
  </si>
  <si>
    <t>74.4</t>
  </si>
  <si>
    <t>83.82</t>
  </si>
  <si>
    <t>85.83</t>
  </si>
  <si>
    <t>7.64</t>
  </si>
  <si>
    <t>9.63</t>
  </si>
  <si>
    <t>104.35</t>
  </si>
  <si>
    <t>99.79</t>
  </si>
  <si>
    <t>102.9</t>
  </si>
  <si>
    <t>EQPA6</t>
  </si>
  <si>
    <t>NATU3</t>
  </si>
  <si>
    <t>TOKY3</t>
  </si>
  <si>
    <t>119764.74</t>
  </si>
  <si>
    <t>3857.39</t>
  </si>
  <si>
    <t>190.31</t>
  </si>
  <si>
    <t>844.61</t>
  </si>
  <si>
    <t>0.84</t>
  </si>
  <si>
    <t>3.25</t>
  </si>
  <si>
    <t>20.44</t>
  </si>
  <si>
    <t>53.77</t>
  </si>
  <si>
    <t>633.64</t>
  </si>
  <si>
    <t>307.21</t>
  </si>
  <si>
    <t>40.28</t>
  </si>
  <si>
    <t>304.49</t>
  </si>
  <si>
    <t>76.56</t>
  </si>
  <si>
    <t>567.4</t>
  </si>
  <si>
    <t>48.3</t>
  </si>
  <si>
    <t>874.65</t>
  </si>
  <si>
    <t>37.12</t>
  </si>
  <si>
    <t>19.24</t>
  </si>
  <si>
    <t>265</t>
  </si>
  <si>
    <t>91.45</t>
  </si>
  <si>
    <t>115.75</t>
  </si>
  <si>
    <t>41.68</t>
  </si>
  <si>
    <t>725.62</t>
  </si>
  <si>
    <t>161</t>
  </si>
  <si>
    <t>105.5</t>
  </si>
  <si>
    <t>413</t>
  </si>
  <si>
    <t>292.4</t>
  </si>
  <si>
    <t>114.5</t>
  </si>
  <si>
    <t>130.78</t>
  </si>
  <si>
    <t>15.38</t>
  </si>
  <si>
    <t>421.26</t>
  </si>
  <si>
    <t>281.12</t>
  </si>
  <si>
    <t>195.3</t>
  </si>
  <si>
    <t>67.48</t>
  </si>
  <si>
    <t>103.2</t>
  </si>
  <si>
    <t>10.86</t>
  </si>
  <si>
    <t>46.8</t>
  </si>
  <si>
    <t>227.26</t>
  </si>
  <si>
    <t>64</t>
  </si>
  <si>
    <t>59.62</t>
  </si>
  <si>
    <t>65.05</t>
  </si>
  <si>
    <t>57.91</t>
  </si>
  <si>
    <t>65.16</t>
  </si>
  <si>
    <t>1562.63</t>
  </si>
  <si>
    <t>41.84</t>
  </si>
  <si>
    <t>71.5</t>
  </si>
  <si>
    <t>439.4</t>
  </si>
  <si>
    <t>39.32</t>
  </si>
  <si>
    <t>61.2</t>
  </si>
  <si>
    <t>64.6</t>
  </si>
  <si>
    <t>193.8</t>
  </si>
  <si>
    <t>92.52</t>
  </si>
  <si>
    <t>73</t>
  </si>
  <si>
    <t>52.5</t>
  </si>
  <si>
    <t>46.73</t>
  </si>
  <si>
    <t>173.39</t>
  </si>
  <si>
    <t>96.8</t>
  </si>
  <si>
    <t>23.72</t>
  </si>
  <si>
    <t>61.56</t>
  </si>
  <si>
    <t>89.57</t>
  </si>
  <si>
    <t>90.18</t>
  </si>
  <si>
    <t>210</t>
  </si>
  <si>
    <t>329.34</t>
  </si>
  <si>
    <t>115.93</t>
  </si>
  <si>
    <t>56.52</t>
  </si>
  <si>
    <t>53.15</t>
  </si>
  <si>
    <t>15.36</t>
  </si>
  <si>
    <t>44.67</t>
  </si>
  <si>
    <t>42.76</t>
  </si>
  <si>
    <t>69.75</t>
  </si>
  <si>
    <t>110.03</t>
  </si>
  <si>
    <t>131.21</t>
  </si>
  <si>
    <t>114.52</t>
  </si>
  <si>
    <t>147.69</t>
  </si>
  <si>
    <t>124.45</t>
  </si>
  <si>
    <t>130.45</t>
  </si>
  <si>
    <t>136.19</t>
  </si>
  <si>
    <t>136.9</t>
  </si>
  <si>
    <t>13.64</t>
  </si>
  <si>
    <t>111.78</t>
  </si>
  <si>
    <t>132.37</t>
  </si>
  <si>
    <t>13.37</t>
  </si>
  <si>
    <t>6.42</t>
  </si>
  <si>
    <t>99.67</t>
  </si>
  <si>
    <t>10.5</t>
  </si>
  <si>
    <t>120.52</t>
  </si>
  <si>
    <t>105.85</t>
  </si>
  <si>
    <t>58.89</t>
  </si>
  <si>
    <t>140.27</t>
  </si>
  <si>
    <t>19.46</t>
  </si>
  <si>
    <t>19.38</t>
  </si>
  <si>
    <t>58.21</t>
  </si>
  <si>
    <t>89.61</t>
  </si>
  <si>
    <t>51.13</t>
  </si>
  <si>
    <t>109.81</t>
  </si>
  <si>
    <t>90.99</t>
  </si>
  <si>
    <t>36.6</t>
  </si>
  <si>
    <t>398.3</t>
  </si>
  <si>
    <t>148.23</t>
  </si>
  <si>
    <t>136.98</t>
  </si>
  <si>
    <t>51.67</t>
  </si>
  <si>
    <t>81.31</t>
  </si>
  <si>
    <t>18.05</t>
  </si>
  <si>
    <t>235.19</t>
  </si>
  <si>
    <t>39.19</t>
  </si>
  <si>
    <t>14.28</t>
  </si>
  <si>
    <t>66.39</t>
  </si>
  <si>
    <t>7.6</t>
  </si>
  <si>
    <t>53.93</t>
  </si>
  <si>
    <t>102.83</t>
  </si>
  <si>
    <t>27.97</t>
  </si>
  <si>
    <t>15.58</t>
  </si>
  <si>
    <t>387.52</t>
  </si>
  <si>
    <t>109.04</t>
  </si>
  <si>
    <t>42.5</t>
  </si>
  <si>
    <t>17.26</t>
  </si>
  <si>
    <t>131.78</t>
  </si>
  <si>
    <t>130.92</t>
  </si>
  <si>
    <t>12.18</t>
  </si>
  <si>
    <t>8.41</t>
  </si>
  <si>
    <t>38.53</t>
  </si>
  <si>
    <t>99.55</t>
  </si>
  <si>
    <t>7.29</t>
  </si>
  <si>
    <t>8.99</t>
  </si>
  <si>
    <t>18.99</t>
  </si>
  <si>
    <t>155.71</t>
  </si>
  <si>
    <t>124.8</t>
  </si>
  <si>
    <t>61.99</t>
  </si>
  <si>
    <t>104.3</t>
  </si>
  <si>
    <t>87.37</t>
  </si>
  <si>
    <t>143.99</t>
  </si>
  <si>
    <t>86.85</t>
  </si>
  <si>
    <t>9.55</t>
  </si>
  <si>
    <t>73.4</t>
  </si>
  <si>
    <t>82.8</t>
  </si>
  <si>
    <t>83.11</t>
  </si>
  <si>
    <t>7.71</t>
  </si>
  <si>
    <t>9.65</t>
  </si>
  <si>
    <t>103.55</t>
  </si>
  <si>
    <t>99</t>
  </si>
  <si>
    <t>101.75</t>
  </si>
  <si>
    <t>114357.14</t>
  </si>
  <si>
    <t>3509.63</t>
  </si>
  <si>
    <t>162.3</t>
  </si>
  <si>
    <t>753.71</t>
  </si>
  <si>
    <t>0.73</t>
  </si>
  <si>
    <t>2.95</t>
  </si>
  <si>
    <t>18.2</t>
  </si>
  <si>
    <t>52.34</t>
  </si>
  <si>
    <t>613.62</t>
  </si>
  <si>
    <t>297.6</t>
  </si>
  <si>
    <t>38.25</t>
  </si>
  <si>
    <t>77.33</t>
  </si>
  <si>
    <t>332.31</t>
  </si>
  <si>
    <t>46.64</t>
  </si>
  <si>
    <t>34.56</t>
  </si>
  <si>
    <t>15.64</t>
  </si>
  <si>
    <t>188.1</t>
  </si>
  <si>
    <t>110.77</t>
  </si>
  <si>
    <t>118.76</t>
  </si>
  <si>
    <t>696.5</t>
  </si>
  <si>
    <t>99.7</t>
  </si>
  <si>
    <t>168.8</t>
  </si>
  <si>
    <t>105.9</t>
  </si>
  <si>
    <t>410.82</t>
  </si>
  <si>
    <t>285.6</t>
  </si>
  <si>
    <t>106.26</t>
  </si>
  <si>
    <t>150</t>
  </si>
  <si>
    <t>61.62</t>
  </si>
  <si>
    <t>15.08</t>
  </si>
  <si>
    <t>435.6</t>
  </si>
  <si>
    <t>45.06</t>
  </si>
  <si>
    <t>413.88</t>
  </si>
  <si>
    <t>270.02</t>
  </si>
  <si>
    <t>195.89</t>
  </si>
  <si>
    <t>66.5</t>
  </si>
  <si>
    <t>14.22</t>
  </si>
  <si>
    <t>104.54</t>
  </si>
  <si>
    <t>10.9</t>
  </si>
  <si>
    <t>45.7</t>
  </si>
  <si>
    <t>68.75</t>
  </si>
  <si>
    <t>227.67</t>
  </si>
  <si>
    <t>61.07</t>
  </si>
  <si>
    <t>56.2</t>
  </si>
  <si>
    <t>67.69</t>
  </si>
  <si>
    <t>58.98</t>
  </si>
  <si>
    <t>52.65</t>
  </si>
  <si>
    <t>1412.54</t>
  </si>
  <si>
    <t>38.52</t>
  </si>
  <si>
    <t>69.93</t>
  </si>
  <si>
    <t>429.78</t>
  </si>
  <si>
    <t>35.27</t>
  </si>
  <si>
    <t>58.51</t>
  </si>
  <si>
    <t>59.35</t>
  </si>
  <si>
    <t>85.5</t>
  </si>
  <si>
    <t>69.99</t>
  </si>
  <si>
    <t>51.66</t>
  </si>
  <si>
    <t>45.66</t>
  </si>
  <si>
    <t>162.47</t>
  </si>
  <si>
    <t>96.72</t>
  </si>
  <si>
    <t>23.09</t>
  </si>
  <si>
    <t>60</t>
  </si>
  <si>
    <t>86.76</t>
  </si>
  <si>
    <t>87.62</t>
  </si>
  <si>
    <t>199</t>
  </si>
  <si>
    <t>341.7</t>
  </si>
  <si>
    <t>113.96</t>
  </si>
  <si>
    <t>50.4</t>
  </si>
  <si>
    <t>49.2</t>
  </si>
  <si>
    <t>14.89</t>
  </si>
  <si>
    <t>56.49</t>
  </si>
  <si>
    <t>18.67</t>
  </si>
  <si>
    <t>19.47</t>
  </si>
  <si>
    <t>91.4</t>
  </si>
  <si>
    <t>387.8</t>
  </si>
  <si>
    <t>17.59</t>
  </si>
  <si>
    <t>13.74</t>
  </si>
  <si>
    <t>63.59</t>
  </si>
  <si>
    <t>15.17</t>
  </si>
  <si>
    <t>377.69</t>
  </si>
  <si>
    <t>16.82</t>
  </si>
  <si>
    <t>127.93</t>
  </si>
  <si>
    <t>12.07</t>
  </si>
  <si>
    <t>8.05</t>
  </si>
  <si>
    <t>37.01</t>
  </si>
  <si>
    <t>137.35</t>
  </si>
  <si>
    <t>69.2</t>
  </si>
  <si>
    <t>129.93</t>
  </si>
  <si>
    <t>113.54</t>
  </si>
  <si>
    <t>143.71</t>
  </si>
  <si>
    <t>124.03</t>
  </si>
  <si>
    <t>129.57</t>
  </si>
  <si>
    <t>134.95</t>
  </si>
  <si>
    <t>135.81</t>
  </si>
  <si>
    <t>13.5</t>
  </si>
  <si>
    <t>111.17</t>
  </si>
  <si>
    <t>6.37</t>
  </si>
  <si>
    <t>98.62</t>
  </si>
  <si>
    <t>120.27</t>
  </si>
  <si>
    <t>105.27</t>
  </si>
  <si>
    <t>137.26</t>
  </si>
  <si>
    <t>57.96</t>
  </si>
  <si>
    <t>86.48</t>
  </si>
  <si>
    <t>48.86</t>
  </si>
  <si>
    <t>109.05</t>
  </si>
  <si>
    <t>36.38</t>
  </si>
  <si>
    <t>79.09</t>
  </si>
  <si>
    <t>233.35</t>
  </si>
  <si>
    <t>7.56</t>
  </si>
  <si>
    <t>53.64</t>
  </si>
  <si>
    <t>102.01</t>
  </si>
  <si>
    <t>42.66</t>
  </si>
  <si>
    <t>130</t>
  </si>
  <si>
    <t>43.8</t>
  </si>
  <si>
    <t>41.34</t>
  </si>
  <si>
    <t>109.99</t>
  </si>
  <si>
    <t>129.85</t>
  </si>
  <si>
    <t>13.04</t>
  </si>
  <si>
    <t>10.44</t>
  </si>
  <si>
    <t>145.94</t>
  </si>
  <si>
    <t>49.74</t>
  </si>
  <si>
    <t>37.97</t>
  </si>
  <si>
    <t>25.5</t>
  </si>
  <si>
    <t>107.2</t>
  </si>
  <si>
    <t>98.6</t>
  </si>
  <si>
    <t>8.97</t>
  </si>
  <si>
    <t>18.39</t>
  </si>
  <si>
    <t>152.2</t>
  </si>
  <si>
    <t>123.25</t>
  </si>
  <si>
    <t>61.1</t>
  </si>
  <si>
    <t>102.99</t>
  </si>
  <si>
    <t>86.09</t>
  </si>
  <si>
    <t>141</t>
  </si>
  <si>
    <t>86.95</t>
  </si>
  <si>
    <t>9.4</t>
  </si>
  <si>
    <t>74.9</t>
  </si>
  <si>
    <t>84.04</t>
  </si>
  <si>
    <t>81.87</t>
  </si>
  <si>
    <t>7.57</t>
  </si>
  <si>
    <t>9.59</t>
  </si>
  <si>
    <t>101.95</t>
  </si>
  <si>
    <t>97.55</t>
  </si>
  <si>
    <t>102.34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</si>
</sst>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 numFmtId="169" formatCode="#,##0_ ;\-#,##0\ "/>
    <numFmt numFmtId="170" formatCode="_-[$R$-416]\ * #,##0.00_-;\-[$R$-416]\ * #,##0.00_-;_-[$R$-416]\ * &quot;-&quot;??_-;_-@_-"/>
  </numFmts>
  <fonts count="21"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
      <sz val="11"/>
      <color rgb="FF0D1421"/>
      <name val="Segoe UI"/>
      <family val="2"/>
    </font>
    <font>
      <sz val="11"/>
      <name val="Calibri"/>
      <family val="2"/>
    </font>
  </fonts>
  <fills count="6">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0" fillId="0" borderId="0"/>
  </cellStyleXfs>
  <cellXfs count="95">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0" fontId="0" fillId="0" borderId="0" xfId="0"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0" fontId="12" fillId="0" borderId="0" xfId="0" applyFont="1"/>
    <xf numFmtId="10" fontId="2" fillId="3" borderId="1" xfId="0" applyNumberFormat="1" applyFont="1" applyFill="1" applyBorder="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3"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3" borderId="2" xfId="0" applyNumberFormat="1" applyFont="1" applyFill="1" applyBorder="1" applyAlignment="1">
      <alignment horizontal="center"/>
    </xf>
    <xf numFmtId="10" fontId="15" fillId="4" borderId="1" xfId="0" applyNumberFormat="1" applyFont="1" applyFill="1" applyBorder="1" applyAlignment="1">
      <alignment horizontal="center"/>
    </xf>
    <xf numFmtId="164" fontId="17" fillId="4" borderId="1" xfId="0" applyNumberFormat="1" applyFont="1" applyFill="1" applyBorder="1" applyAlignment="1">
      <alignment horizontal="center"/>
    </xf>
    <xf numFmtId="10" fontId="17" fillId="4" borderId="1" xfId="0" applyNumberFormat="1" applyFont="1" applyFill="1" applyBorder="1" applyAlignment="1">
      <alignment horizontal="center"/>
    </xf>
    <xf numFmtId="164" fontId="2" fillId="4" borderId="1" xfId="0" applyNumberFormat="1" applyFont="1" applyFill="1" applyBorder="1" applyAlignment="1">
      <alignment horizontal="center"/>
    </xf>
    <xf numFmtId="3" fontId="1" fillId="4" borderId="1" xfId="0" applyNumberFormat="1" applyFont="1" applyFill="1" applyBorder="1" applyAlignment="1">
      <alignment horizontal="center"/>
    </xf>
    <xf numFmtId="164" fontId="6" fillId="4" borderId="0" xfId="0" applyNumberFormat="1" applyFont="1" applyFill="1" applyAlignment="1">
      <alignment horizontal="center"/>
    </xf>
    <xf numFmtId="164" fontId="2" fillId="0" borderId="1" xfId="0" applyNumberFormat="1" applyFont="1" applyBorder="1" applyAlignment="1">
      <alignment horizontal="center"/>
    </xf>
    <xf numFmtId="10" fontId="15" fillId="4"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7" fillId="4" borderId="3" xfId="0" applyNumberFormat="1" applyFont="1" applyFill="1" applyBorder="1" applyAlignment="1">
      <alignment horizontal="center"/>
    </xf>
    <xf numFmtId="10" fontId="17" fillId="4" borderId="3" xfId="0" applyNumberFormat="1" applyFont="1" applyFill="1" applyBorder="1" applyAlignment="1">
      <alignment horizontal="center"/>
    </xf>
    <xf numFmtId="4" fontId="1" fillId="3" borderId="3" xfId="0" applyNumberFormat="1" applyFont="1" applyFill="1" applyBorder="1" applyAlignment="1">
      <alignment horizontal="center"/>
    </xf>
    <xf numFmtId="10" fontId="15" fillId="4" borderId="2" xfId="0" applyNumberFormat="1" applyFont="1" applyFill="1" applyBorder="1" applyAlignment="1">
      <alignment horizontal="center"/>
    </xf>
    <xf numFmtId="10" fontId="2" fillId="0" borderId="2" xfId="0" applyNumberFormat="1" applyFont="1" applyBorder="1" applyAlignment="1">
      <alignment horizontal="center"/>
    </xf>
    <xf numFmtId="164" fontId="14" fillId="2" borderId="2" xfId="0" applyNumberFormat="1" applyFont="1" applyFill="1" applyBorder="1" applyAlignment="1">
      <alignment horizontal="center"/>
    </xf>
    <xf numFmtId="10" fontId="17" fillId="4" borderId="2" xfId="0" applyNumberFormat="1" applyFont="1" applyFill="1" applyBorder="1" applyAlignment="1">
      <alignment horizontal="center"/>
    </xf>
    <xf numFmtId="164" fontId="17" fillId="4"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4" borderId="1" xfId="0" applyNumberFormat="1" applyFont="1" applyFill="1" applyBorder="1" applyAlignment="1">
      <alignment horizontal="center"/>
    </xf>
    <xf numFmtId="164" fontId="18" fillId="0" borderId="1" xfId="0" applyNumberFormat="1" applyFont="1" applyBorder="1" applyAlignment="1">
      <alignment horizontal="center"/>
    </xf>
    <xf numFmtId="164" fontId="18" fillId="4" borderId="1" xfId="0" applyNumberFormat="1" applyFont="1" applyFill="1" applyBorder="1" applyAlignment="1">
      <alignment horizontal="center"/>
    </xf>
    <xf numFmtId="10" fontId="18" fillId="0" borderId="1" xfId="0" applyNumberFormat="1" applyFont="1" applyBorder="1" applyAlignment="1">
      <alignment horizontal="center"/>
    </xf>
    <xf numFmtId="164" fontId="2" fillId="4" borderId="0" xfId="0" applyNumberFormat="1" applyFont="1" applyFill="1" applyAlignment="1">
      <alignment horizontal="center"/>
    </xf>
    <xf numFmtId="8" fontId="0" fillId="0" borderId="0" xfId="0" applyNumberFormat="1"/>
    <xf numFmtId="6" fontId="0" fillId="0" borderId="0" xfId="0" applyNumberFormat="1"/>
    <xf numFmtId="0" fontId="16" fillId="0" borderId="0" xfId="0" applyFont="1"/>
    <xf numFmtId="164" fontId="13"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164" fontId="2" fillId="0" borderId="3" xfId="0" applyNumberFormat="1" applyFont="1" applyBorder="1"/>
    <xf numFmtId="168" fontId="1" fillId="0" borderId="0" xfId="0" applyNumberFormat="1" applyFont="1" applyAlignment="1">
      <alignment horizontal="center"/>
    </xf>
    <xf numFmtId="164" fontId="6" fillId="3" borderId="1" xfId="0" applyNumberFormat="1" applyFont="1" applyFill="1" applyBorder="1" applyAlignment="1">
      <alignment horizontal="center"/>
    </xf>
    <xf numFmtId="164" fontId="6" fillId="4"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3" borderId="1" xfId="0" applyNumberFormat="1" applyFont="1" applyFill="1" applyBorder="1" applyAlignment="1">
      <alignment horizontal="center"/>
    </xf>
    <xf numFmtId="164" fontId="5" fillId="3" borderId="1" xfId="0" applyNumberFormat="1" applyFont="1" applyFill="1" applyBorder="1" applyAlignment="1">
      <alignment horizontal="center"/>
    </xf>
    <xf numFmtId="10" fontId="8" fillId="4" borderId="1" xfId="0" applyNumberFormat="1" applyFont="1" applyFill="1" applyBorder="1" applyAlignment="1">
      <alignment horizontal="center"/>
    </xf>
    <xf numFmtId="2" fontId="5" fillId="4" borderId="1" xfId="0" applyNumberFormat="1" applyFont="1" applyFill="1" applyBorder="1" applyAlignment="1">
      <alignment horizontal="center"/>
    </xf>
    <xf numFmtId="2" fontId="3" fillId="0" borderId="0" xfId="0" applyNumberFormat="1" applyFont="1" applyAlignment="1">
      <alignment horizontal="center"/>
    </xf>
    <xf numFmtId="2" fontId="5" fillId="0" borderId="1" xfId="0" applyNumberFormat="1" applyFont="1" applyBorder="1" applyAlignment="1">
      <alignment horizontal="center"/>
    </xf>
    <xf numFmtId="2" fontId="2" fillId="4" borderId="1" xfId="0" applyNumberFormat="1" applyFont="1" applyFill="1" applyBorder="1" applyAlignment="1">
      <alignment horizontal="center"/>
    </xf>
    <xf numFmtId="169" fontId="2" fillId="0" borderId="0" xfId="0" applyNumberFormat="1" applyFont="1" applyAlignment="1">
      <alignment horizontal="center"/>
    </xf>
    <xf numFmtId="4" fontId="1" fillId="0" borderId="0" xfId="0" applyNumberFormat="1" applyFont="1" applyAlignment="1">
      <alignment horizontal="center"/>
    </xf>
    <xf numFmtId="0" fontId="2" fillId="0" borderId="0" xfId="0" quotePrefix="1" applyFont="1" applyAlignment="1">
      <alignment horizontal="center"/>
    </xf>
    <xf numFmtId="14" fontId="0" fillId="0" borderId="0" xfId="0" applyNumberFormat="1"/>
    <xf numFmtId="4" fontId="1" fillId="4" borderId="0" xfId="0" applyNumberFormat="1" applyFont="1" applyFill="1" applyAlignment="1">
      <alignment horizontal="center"/>
    </xf>
    <xf numFmtId="0" fontId="18" fillId="0" borderId="0" xfId="0" applyFont="1" applyAlignment="1">
      <alignment horizontal="center"/>
    </xf>
    <xf numFmtId="0" fontId="6" fillId="0" borderId="0" xfId="0" applyFont="1" applyAlignment="1">
      <alignment horizontal="center"/>
    </xf>
    <xf numFmtId="168" fontId="18" fillId="0" borderId="0" xfId="0" applyNumberFormat="1" applyFont="1" applyAlignment="1">
      <alignment horizontal="center"/>
    </xf>
    <xf numFmtId="10" fontId="6" fillId="0" borderId="0" xfId="0" applyNumberFormat="1" applyFont="1" applyAlignment="1">
      <alignment horizontal="center"/>
    </xf>
    <xf numFmtId="14" fontId="2" fillId="0" borderId="1" xfId="0" applyNumberFormat="1" applyFont="1" applyBorder="1" applyAlignment="1">
      <alignment horizontal="center"/>
    </xf>
    <xf numFmtId="10" fontId="3" fillId="0" borderId="0" xfId="0" applyNumberFormat="1" applyFont="1" applyAlignment="1">
      <alignment horizontal="center"/>
    </xf>
    <xf numFmtId="170" fontId="1" fillId="0" borderId="0" xfId="0" applyNumberFormat="1" applyFont="1" applyAlignment="1">
      <alignment horizontal="center"/>
    </xf>
    <xf numFmtId="10" fontId="8" fillId="4" borderId="0" xfId="0" applyNumberFormat="1" applyFont="1" applyFill="1" applyAlignment="1">
      <alignment horizontal="center"/>
    </xf>
    <xf numFmtId="10" fontId="9" fillId="5" borderId="2" xfId="0" applyNumberFormat="1" applyFont="1" applyFill="1" applyBorder="1" applyAlignment="1">
      <alignment horizontal="center"/>
    </xf>
    <xf numFmtId="2" fontId="19" fillId="0" borderId="0" xfId="0" applyNumberFormat="1" applyFont="1"/>
    <xf numFmtId="2" fontId="0" fillId="0" borderId="0" xfId="0" applyNumberFormat="1" applyAlignment="1">
      <alignment horizontal="left"/>
    </xf>
    <xf numFmtId="2" fontId="0" fillId="0" borderId="0" xfId="0" applyNumberFormat="1"/>
    <xf numFmtId="0" fontId="12" fillId="0" borderId="0" xfId="0" applyFont="1" applyAlignment="1">
      <alignment horizontal="left"/>
    </xf>
    <xf numFmtId="2" fontId="19" fillId="0" borderId="0" xfId="0" applyNumberFormat="1" applyFont="1" applyAlignment="1">
      <alignment horizontal="center"/>
    </xf>
  </cellXfs>
  <cellStyles count="2">
    <cellStyle name="Normal" xfId="0" builtinId="0"/>
    <cellStyle name="Normal 2" xfId="1" xr:uid="{A3A48D21-4439-46E1-ACE3-DA7868170AB4}"/>
  </cellStyles>
  <dxfs count="54">
    <dxf>
      <font>
        <color theme="0"/>
      </font>
      <fill>
        <patternFill>
          <bgColor theme="5" tint="0.39994506668294322"/>
        </patternFill>
      </fill>
    </dxf>
    <dxf>
      <font>
        <color theme="0"/>
      </font>
      <fill>
        <patternFill>
          <bgColor rgb="FFFF000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ill>
        <patternFill>
          <bgColor theme="9" tint="0.59996337778862885"/>
        </patternFill>
      </fill>
    </dxf>
    <dxf>
      <font>
        <color theme="9" tint="-0.24994659260841701"/>
      </font>
      <fill>
        <patternFill>
          <bgColor theme="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rgb="FF0070C0"/>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0"/>
      </font>
      <fill>
        <patternFill>
          <bgColor theme="9" tint="-0.24994659260841701"/>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theme="9" tint="0.39994506668294322"/>
        </patternFill>
      </fill>
    </dxf>
    <dxf>
      <font>
        <color theme="9" tint="-0.24994659260841701"/>
      </font>
      <fill>
        <patternFill>
          <bgColor theme="0"/>
        </patternFill>
      </fill>
    </dxf>
    <dxf>
      <font>
        <color theme="0"/>
      </font>
      <fill>
        <patternFill>
          <bgColor rgb="FF00B050"/>
        </patternFill>
      </fill>
    </dxf>
    <dxf>
      <font>
        <color theme="0"/>
      </font>
      <fill>
        <patternFill>
          <bgColor theme="5" tint="0.39994506668294322"/>
        </patternFill>
      </fill>
    </dxf>
    <dxf>
      <font>
        <color rgb="FF0070C0"/>
      </font>
      <fill>
        <patternFill>
          <bgColor theme="0"/>
        </patternFill>
      </fill>
    </dxf>
    <dxf>
      <font>
        <color theme="0"/>
      </font>
      <fill>
        <patternFill>
          <bgColor rgb="FF00B050"/>
        </patternFill>
      </fill>
    </dxf>
    <dxf>
      <font>
        <b/>
        <i val="0"/>
        <color rgb="FF0070C0"/>
      </font>
      <fill>
        <patternFill patternType="none">
          <bgColor auto="1"/>
        </patternFill>
      </fill>
    </dxf>
    <dxf>
      <font>
        <b/>
        <i val="0"/>
        <color theme="0"/>
      </font>
      <fill>
        <patternFill>
          <bgColor rgb="FF0070C0"/>
        </patternFill>
      </fill>
    </dxf>
    <dxf>
      <font>
        <b/>
        <i val="0"/>
        <color theme="0"/>
      </font>
      <fill>
        <patternFill>
          <bgColor rgb="FF0070C0"/>
        </patternFill>
      </fill>
    </dxf>
    <dxf>
      <font>
        <b/>
        <i val="0"/>
        <color rgb="FF00B050"/>
      </font>
    </dxf>
    <dxf>
      <font>
        <b/>
        <i val="0"/>
        <color theme="9" tint="0.59996337778862885"/>
      </font>
    </dxf>
    <dxf>
      <font>
        <b/>
        <i val="0"/>
        <color rgb="FF00B050"/>
      </font>
    </dxf>
    <dxf>
      <font>
        <b/>
        <i val="0"/>
        <color theme="9" tint="0.59996337778862885"/>
      </font>
    </dxf>
    <dxf>
      <font>
        <color rgb="FF00B050"/>
      </font>
    </dxf>
    <dxf>
      <font>
        <color rgb="FF00B050"/>
      </font>
    </dxf>
    <dxf>
      <font>
        <color rgb="FF00B050"/>
      </font>
    </dxf>
    <dxf>
      <font>
        <b/>
        <i val="0"/>
        <color theme="0"/>
      </font>
      <fill>
        <patternFill>
          <bgColor rgb="FF00B050"/>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3">
  <rv s="0">
    <v>https://www.bing.com/financeapi/forcetrigger?t=bx3d27&amp;q=BVMF%3aGOLD11&amp;form=skydnc</v>
    <v>Learn more on Bing</v>
  </rv>
  <rv s="1">
    <v>pt-BR</v>
    <v>bx3d27</v>
    <v>268435456</v>
    <v>1</v>
    <v>Da plataforma Refinitiv</v>
    <v>0</v>
    <v>1</v>
    <v>Trend ETF LBMA Ouro FIInd IE (BVMF:GOLD11)</v>
    <v>3</v>
    <v>4</v>
    <v>Finance</v>
    <v>5</v>
    <v>20.82</v>
    <v>13.96</v>
    <v>BVMF</v>
    <v>19.47</v>
    <v>19.28</v>
    <v>0.98519999999999996</v>
    <v>B3 - Brazil Stock Exchange</v>
    <v>1798472393.5</v>
    <v>19.239999999999998</v>
    <v>45870.958333333336</v>
    <v>0</v>
    <v>BRL</v>
    <v>Trend ETF LBMA Ouro FIInd IE</v>
    <v>19.3</v>
    <v>19.47</v>
    <v>GOLD11</v>
    <v>Fundos mais negociados</v>
    <v>Trend ETF LBMA Ouro FIInd IE (BVMF:GOLD11)</v>
    <v>0.23</v>
    <v>1.1953999999999999E-2</v>
    <v>1565604</v>
  </rv>
  <rv s="2">
    <v>1</v>
  </rv>
  <rv s="0">
    <v>https://www.bing.com/financeapi/forcetrigger?t=apnmnm&amp;q=SAO+PAULO+SE+BOVESPA+INDEX&amp;form=skydnc</v>
    <v>Learn more on Bing</v>
  </rv>
  <rv s="3">
    <v>pt-BR</v>
    <v>apnmnm</v>
    <v>268435456</v>
    <v>1</v>
    <v>Da plataforma Refinitiv</v>
    <v>6</v>
    <v>7</v>
    <v>SAO PAULO SE BOVESPA INDEX</v>
    <v>3</v>
    <v>8</v>
    <v>Finance</v>
    <v>9</v>
    <v>141563.85</v>
    <v>118222.64</v>
    <v>133236.92000000001</v>
    <v>132140.29999999999</v>
    <v>133071.04999999999</v>
    <v>3</v>
    <v>SAO PAULO SE BOVESPA INDEX</v>
    <v>BR</v>
    <v>132919.56</v>
    <v>132437.39000000001</v>
    <v>IBOV</v>
    <v>Índice</v>
    <v>SAO PAULO SE BOVESPA INDEX</v>
    <v>-633.66</v>
    <v>-4.7619999999999997E-3</v>
  </rv>
  <rv s="2">
    <v>4</v>
  </rv>
  <rv s="4">
    <v>12</v>
    <v>Média de volume</v>
    <v>0</v>
  </rv>
  <rv s="5">
    <v>13</v>
    <v>3</v>
  </rv>
  <rv s="6">
    <v>13</v>
    <v>1</v>
  </rv>
  <rv s="0">
    <v>https://www.bing.com/financeapi/forcetrigger?t=apm8oc&amp;q=BVMF%3aEQPA7&amp;form=skydnc</v>
    <v>Learn more on Bing</v>
  </rv>
  <rv s="7">
    <v>pt-BR</v>
    <v>apm8oc</v>
    <v>268435456</v>
    <v>1</v>
    <v>Da plataforma Refinitiv</v>
    <v>10</v>
    <v>11</v>
    <v>EQUATORIAL PARÁ DISTRIBUIDORA DE ENERGIA S.A (BVMF:EQPA7)</v>
    <v>12</v>
    <v>13</v>
    <v>Finance</v>
    <v>5</v>
    <v>8.0500000000000007</v>
    <v>6.52</v>
    <v>BVMF</v>
    <v>4453440</v>
    <v>6.88</v>
    <v>1960</v>
    <v>6.52</v>
    <v>0.64129999999999998</v>
    <v>B3 - Brazil Stock Exchange</v>
    <v>31373830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8.0500000000000007</v>
    <v>1753</v>
    <v>45867.947916666664</v>
    <v>9</v>
    <v>BRL</v>
    <v>EQUATORIAL PARÁ DISTRIBUIDORA DE ENERGIA S.A</v>
    <v>EQUATORIAL PARÁ DISTRIBUIDORA DE ENERGIA S.A</v>
    <v>6.88</v>
    <v>6.52</v>
    <v>Rod Augusto Montenegro Km 8,5, Coqueiro, BELEM, PARA, 66.823-010 BR</v>
    <v>Electrical Utilities &amp; IPPs</v>
    <v>EQPA7</v>
    <v>Ações</v>
    <v>EQUATORIAL PARÁ DISTRIBUIDORA DE ENERGIA S.A (BVMF:EQPA7)</v>
    <v>-1.53</v>
    <v>-0.19006200000000001</v>
    <v>300</v>
  </rv>
  <rv s="2">
    <v>10</v>
  </rv>
  <rv s="0">
    <v>https://www.bing.com/financeapi/forcetrigger?t=apm9hw&amp;q=BVMF%3aCGRA4&amp;form=skydnc</v>
    <v>Learn more on Bing</v>
  </rv>
  <rv s="8">
    <v>pt-BR</v>
    <v>apm9hw</v>
    <v>268435456</v>
    <v>1</v>
    <v>Da plataforma Refinitiv</v>
    <v>14</v>
    <v>15</v>
    <v>GRAZZIOTIN S.A. (BVMF:CGRA4)</v>
    <v>12</v>
    <v>16</v>
    <v>Finance</v>
    <v>5</v>
    <v>29.6</v>
    <v>21.02</v>
    <v>BVMF</v>
    <v>20585620</v>
    <v>27.17</v>
    <v>1950</v>
    <v>26.86</v>
    <v>0.59699999999999998</v>
    <v>B3 - Brazil Stock Exchange</v>
    <v>554253400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26.77</v>
    <v>2795</v>
    <v>45870.958333333336</v>
    <v>12</v>
    <v>7150</v>
    <v>BRL</v>
    <v>GRAZZIOTIN S.A.</v>
    <v>GRAZZIOTIN S.A.</v>
    <v>26.86</v>
    <v>26.87</v>
    <v>Rua Valentin Grazziotin, 077, Sao Cristovao, PASSO FUNDO, RIO GRANDE DO SUL, 99.060-030 BR</v>
    <v>Diversified Retail</v>
    <v>CGRA4</v>
    <v>Ações</v>
    <v>GRAZZIOTIN S.A. (BVMF:CGRA4)</v>
    <v>0.1</v>
    <v>3.7359999999999997E-3</v>
    <v>1800</v>
  </rv>
  <rv s="2">
    <v>13</v>
  </rv>
  <rv s="0">
    <v>https://www.bing.com/financeapi/forcetrigger?t=apnhoc&amp;q=BVMF%3aTRPL4&amp;form=skydnc</v>
    <v>Learn more on Bing</v>
  </rv>
  <rv s="8">
    <v>pt-BR</v>
    <v>apnhoc</v>
    <v>268435456</v>
    <v>1</v>
    <v>Da plataforma Refinitiv</v>
    <v>14</v>
    <v>15</v>
    <v>ISA ENERGIA BRASIL S.A. (BVMF:ISAE4)</v>
    <v>12</v>
    <v>16</v>
    <v>Finance</v>
    <v>5</v>
    <v>24.39</v>
    <v>20.38</v>
    <v>BVMF</v>
    <v>658883300</v>
    <v>21.9</v>
    <v>1999</v>
    <v>21.6</v>
    <v>0.7046</v>
    <v>B3 - Brazil Stock Exchange</v>
    <v>16443950000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21.67</v>
    <v>1700</v>
    <v>45870.958333333336</v>
    <v>15</v>
    <v>1871570</v>
    <v>BRL</v>
    <v>ISA ENERGIA BRASIL S.A.</v>
    <v>ISA ENERGIA BRASIL S.A.</v>
    <v>21.86</v>
    <v>21.6</v>
    <v>Av. das Nacoes Unidas 14171 - Torre Crystal, 6 andar, Vila Gertrudes, SAO PAULO, SAO PAULO, 04.794-000 BR</v>
    <v>Electrical Utilities &amp; IPPs</v>
    <v>ISAE4</v>
    <v>Ações</v>
    <v>ISA ENERGIA BRASIL S.A. (BVMF:ISAE4)</v>
    <v>-7.0000000000000007E-2</v>
    <v>-3.2300000000000002E-3</v>
    <v>2369800</v>
  </rv>
  <rv s="2">
    <v>16</v>
  </rv>
  <rv s="0">
    <v>https://www.bing.com/financeapi/forcetrigger?t=aplzr7&amp;q=BVMF%3aBEES3&amp;form=skydnc</v>
    <v>Learn more on Bing</v>
  </rv>
  <rv s="8">
    <v>pt-BR</v>
    <v>aplzr7</v>
    <v>268435456</v>
    <v>1</v>
    <v>Da plataforma Refinitiv</v>
    <v>14</v>
    <v>15</v>
    <v>BANESTES S.A. – Banco do Estado do Espírito Santo (BVMF:BEES3)</v>
    <v>12</v>
    <v>16</v>
    <v>Finance</v>
    <v>5</v>
    <v>9.17</v>
    <v>7.65</v>
    <v>BVMF</v>
    <v>315912900</v>
    <v>8.49</v>
    <v>1937</v>
    <v>8.3699999999999992</v>
    <v>0.43819999999999998</v>
    <v>B3 - Brazil Stock Exchange</v>
    <v>2655840000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8.41</v>
    <v>2204</v>
    <v>45870.958333333336</v>
    <v>18</v>
    <v>9450</v>
    <v>BRL</v>
    <v>BANESTES S.A. – Banco do Estado do Espírito Santo</v>
    <v>BANESTES S.A. – Banco do Estado do Espírito Santo</v>
    <v>8.42</v>
    <v>8.3800000000000008</v>
    <v>Av Princesa Isabel 574, BL B, 9 ANDAR, Centro, VITORIA, ESPIRITO SANTO, 29.010-931 BR</v>
    <v>Banking Services</v>
    <v>BEES3</v>
    <v>Ações</v>
    <v>BANESTES S.A. – Banco do Estado do Espírito Santo (BVMF:BEES3)</v>
    <v>-0.03</v>
    <v>-3.5670000000000003E-3</v>
    <v>14500</v>
  </rv>
  <rv s="2">
    <v>19</v>
  </rv>
  <rv s="0">
    <v>https://www.bing.com/financeapi/forcetrigger?t=apltyc&amp;q=BVMF%3aABEV3&amp;form=skydnc</v>
    <v>Learn more on Bing</v>
  </rv>
  <rv s="8">
    <v>pt-BR</v>
    <v>apltyc</v>
    <v>268435456</v>
    <v>1</v>
    <v>Da plataforma Refinitiv</v>
    <v>14</v>
    <v>15</v>
    <v>Ambev S.A. (BVMF:ABEV3)</v>
    <v>12</v>
    <v>16</v>
    <v>Finance</v>
    <v>5</v>
    <v>14.9</v>
    <v>10.53</v>
    <v>BVMF</v>
    <v>15761640000</v>
    <v>12.68</v>
    <v>2005</v>
    <v>12.22</v>
    <v>0.6825</v>
    <v>B3 - Brazil Stock Exchange</v>
    <v>193710500000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12.46</v>
    <v>43000</v>
    <v>45870.958333333336</v>
    <v>21</v>
    <v>33623880</v>
    <v>BRL</v>
    <v>Ambev S.A.</v>
    <v>Ambev S.A.</v>
    <v>12.55</v>
    <v>12.29</v>
    <v>Rua Dr. Renato Paes de Barros, 1.017, 4 andar, Itaim Bibi, SAO PAULO, SAO PAULO, 04.530-001 BR</v>
    <v>Beverages</v>
    <v>ABEV3</v>
    <v>Ações</v>
    <v>Ambev S.A. (BVMF:ABEV3)</v>
    <v>-0.17</v>
    <v>-1.3644E-2</v>
    <v>34252600</v>
  </rv>
  <rv s="2">
    <v>22</v>
  </rv>
  <rv s="0">
    <v>https://www.bing.com/financeapi/forcetrigger?t=apnahw&amp;q=BVMF%3aRPMG3&amp;form=skydnc</v>
    <v>Learn more on Bing</v>
  </rv>
  <rv s="9">
    <v>pt-BR</v>
    <v>apnahw</v>
    <v>268435456</v>
    <v>1</v>
    <v>Da plataforma Refinitiv</v>
    <v>17</v>
    <v>18</v>
    <v>REFINARIA DE PETROLEOS DE MANGUINHOS S/A - EM RECUPERACAO JUDICIAL (BVMF:RPMG3)</v>
    <v>12</v>
    <v>19</v>
    <v>Finance</v>
    <v>5</v>
    <v>3.25</v>
    <v>2.4</v>
    <v>BVMF</v>
    <v>67691630</v>
    <v>3</v>
    <v>1946</v>
    <v>2.91</v>
    <v>0.85309999999999997</v>
    <v>B3 - Brazil Stock Exchange</v>
    <v>196982600</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2.9</v>
    <v>45870.958333333336</v>
    <v>24</v>
    <v>4590</v>
    <v>BRL</v>
    <v>REFINARIA DE PETROLEOS DE MANGUINHOS S/A - EM RECUPERACAO JUDICIAL</v>
    <v>REFINARIA DE PETROLEOS DE MANGUINHOS S/A - EM RECUPERACAO JUDICIAL</v>
    <v>2.99</v>
    <v>2.91</v>
    <v>Avenida Brasil, 3.141,n/a, Benfica, RIO DE JANEIRO, RIO DE JANEIRO, 20.930-041 BR</v>
    <v>Oil &amp; Gas</v>
    <v>RPMG3</v>
    <v>Ações</v>
    <v>REFINARIA DE PETROLEOS DE MANGUINHOS S/A - EM RECUPERACAO JUDICIAL (BVMF:RPMG3)</v>
    <v>0.01</v>
    <v>3.4480000000000001E-3</v>
    <v>8200</v>
  </rv>
  <rv s="2">
    <v>25</v>
  </rv>
  <rv s="0">
    <v>https://www.bing.com/financeapi/forcetrigger?t=bvcw27&amp;q=BVMF%3aDMVF3&amp;form=skydnc</v>
    <v>Learn more on Bing</v>
  </rv>
  <rv s="8">
    <v>pt-BR</v>
    <v>bvcw27</v>
    <v>268435456</v>
    <v>1</v>
    <v>Da plataforma Refinitiv</v>
    <v>14</v>
    <v>15</v>
    <v>d1000 Varejo Farma Participações S.A. (BVMF:DMVF3)</v>
    <v>12</v>
    <v>16</v>
    <v>Finance</v>
    <v>5</v>
    <v>7.85</v>
    <v>4.5599999999999996</v>
    <v>BVMF</v>
    <v>50602840</v>
    <v>4.8099999999999996</v>
    <v>2010</v>
    <v>4.67</v>
    <v>0.96150000000000002</v>
    <v>B3 - Brazil Stock Exchange</v>
    <v>236315300</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4.78</v>
    <v>4200</v>
    <v>45870.958333333336</v>
    <v>27</v>
    <v>43720</v>
    <v>BRL</v>
    <v>d1000 Varejo Farma Participações S.A.</v>
    <v>d1000 Varejo Farma Participações S.A.</v>
    <v>4.8</v>
    <v>4.67</v>
    <v>Avenida Ayrton Senna, n 2.150 Bloco P, 3 andar, Barra Da Tijuca, Rio De Janeiro, RIO DE JANEIRO, 22.775-003 BR</v>
    <v>Food &amp; Drug Retailing</v>
    <v>DMVF3</v>
    <v>Ações</v>
    <v>d1000 Varejo Farma Participações S.A. (BVMF:DMVF3)</v>
    <v>-0.11</v>
    <v>-2.3012999999999999E-2</v>
    <v>56800</v>
  </rv>
  <rv s="2">
    <v>28</v>
  </rv>
  <rv s="0">
    <v>https://www.bing.com/financeapi/forcetrigger?t=apncjc&amp;q=BVMF%3aSLCE3&amp;form=skydnc</v>
    <v>Learn more on Bing</v>
  </rv>
  <rv s="8">
    <v>pt-BR</v>
    <v>apncjc</v>
    <v>268435456</v>
    <v>1</v>
    <v>Da plataforma Refinitiv</v>
    <v>14</v>
    <v>15</v>
    <v>SLC Agrícola S.A. (BVMF:SLCE3)</v>
    <v>12</v>
    <v>16</v>
    <v>Finance</v>
    <v>5</v>
    <v>20.420000000000002</v>
    <v>16.22</v>
    <v>BVMF</v>
    <v>443329700</v>
    <v>18.489999999999998</v>
    <v>1977</v>
    <v>18.14</v>
    <v>0.49590000000000001</v>
    <v>B3 - Brazil Stock Exchange</v>
    <v>8042001000</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18.329999999999998</v>
    <v>6065</v>
    <v>45870.958333333336</v>
    <v>30</v>
    <v>1984710</v>
    <v>BRL</v>
    <v>SLC Agrícola S.A.</v>
    <v>SLC Agrícola S.A.</v>
    <v>18.399999999999999</v>
    <v>18.14</v>
    <v>Rua Bernardo Pires, 128,4andar, Porto Alegre, PORTO ALEGRE, RIO GRANDE DO SUL, 90.620-010 BR</v>
    <v>Food &amp; Tobacco</v>
    <v>SLCE3</v>
    <v>Ações</v>
    <v>SLC Agrícola S.A. (BVMF:SLCE3)</v>
    <v>-0.19</v>
    <v>-1.0366E-2</v>
    <v>1797600</v>
  </rv>
  <rv s="2">
    <v>31</v>
  </rv>
  <rv s="0">
    <v>https://www.bing.com/financeapi/forcetrigger?t=bxiatc&amp;q=BVMF%3aOPCT3&amp;form=skydnc</v>
    <v>Learn more on Bing</v>
  </rv>
  <rv s="8">
    <v>pt-BR</v>
    <v>bxiatc</v>
    <v>268435456</v>
    <v>1</v>
    <v>Da plataforma Refinitiv</v>
    <v>14</v>
    <v>15</v>
    <v>Oceanpact Serviços Maritimos S.A. (BVMF:OPCT3)</v>
    <v>12</v>
    <v>16</v>
    <v>Finance</v>
    <v>5</v>
    <v>7.26</v>
    <v>4.8499999999999996</v>
    <v>BVMF</v>
    <v>199959500</v>
    <v>6.25</v>
    <v>2007</v>
    <v>5.96</v>
    <v>1.2746999999999999</v>
    <v>B3 - Brazil Stock Exchange</v>
    <v>1219753000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6.09</v>
    <v>2162</v>
    <v>45870.958333333336</v>
    <v>33</v>
    <v>457490</v>
    <v>BRL</v>
    <v>Oceanpact Serviços Maritimos S.A.</v>
    <v>Oceanpact Serviços Maritimos S.A.</v>
    <v>6.09</v>
    <v>6.1</v>
    <v>Rua da Gloria, n 122, salas 801 e 802 10 pavimento salas 901 e 902, Gloria, RIO DE JANEIRO, RIO DE JANEIRO, 20.241-180 BR</v>
    <v>Professional &amp; Commercial Services</v>
    <v>OPCT3</v>
    <v>Ações</v>
    <v>Oceanpact Serviços Maritimos S.A. (BVMF:OPCT3)</v>
    <v>0.01</v>
    <v>1.6420000000000002E-3</v>
    <v>706700</v>
  </rv>
  <rv s="2">
    <v>34</v>
  </rv>
  <rv s="0">
    <v>http://en.wikipedia.org/wiki/Public_domain</v>
    <v>Public domain</v>
  </rv>
  <rv s="0">
    <v>http://en.wikipedia.org/wiki/Santander_Brasil</v>
    <v>Wikipedia</v>
  </rv>
  <rv s="10">
    <v>36</v>
    <v>37</v>
  </rv>
  <rv s="11">
    <v>25</v>
    <v>https://www.bing.com/th?id=AMMS_e9bd359a34230065992cf9d9d217596e&amp;qlt=95</v>
    <v>38</v>
    <v>0</v>
    <v>https://www.bing.com/images/search?form=xlimg&amp;q=santander+brasil</v>
    <v>Image of Banco Santander (Brasil) S.A.</v>
  </rv>
  <rv s="0">
    <v>https://www.bing.com/financeapi/forcetrigger?t=apnaz2&amp;q=BVMF%3aSANB4&amp;form=skydnc</v>
    <v>Learn more on Bing</v>
  </rv>
  <rv s="12">
    <v>pt-BR</v>
    <v>apnaz2</v>
    <v>268435456</v>
    <v>1</v>
    <v>Da plataforma Refinitiv</v>
    <v>20</v>
    <v>21</v>
    <v>Banco Santander (Brasil) S.A. (BVMF:SANB4)</v>
    <v>23</v>
    <v>24</v>
    <v>Finance</v>
    <v>5</v>
    <v>15.72</v>
    <v>11.51</v>
    <v>BVMF</v>
    <v>3749266000</v>
    <v>14.11</v>
    <v>1985</v>
    <v>13.59</v>
    <v>1.1026</v>
    <v>B3 - Brazil Stock Exchange</v>
    <v>97201100000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13.93</v>
    <v>55646</v>
    <v>45870.958333333336</v>
    <v>39</v>
    <v>40</v>
    <v>62790</v>
    <v>BRL</v>
    <v>Banco Santander (Brasil) S.A.</v>
    <v>Banco Santander (Brasil) S.A.</v>
    <v>14.04</v>
    <v>13.64</v>
    <v>Avenida Presidente Juscelino Kubitschek, n 2041 CJ 281, Bloco A, Vila Nova Conceicao, SAO PAULO, SAO PAULO, 04.543-011 BR</v>
    <v>Banking Services</v>
    <v>SANB4</v>
    <v>Ações</v>
    <v>Banco Santander (Brasil) S.A. (BVMF:SANB4)</v>
    <v>-0.28999999999999998</v>
    <v>-2.0818E-2</v>
    <v>54600</v>
  </rv>
  <rv s="2">
    <v>41</v>
  </rv>
  <rv s="0">
    <v>https://www.bing.com/financeapi/forcetrigger?t=apnlr7&amp;q=BVMF%3aWHRL4&amp;form=skydnc</v>
    <v>Learn more on Bing</v>
  </rv>
  <rv s="8">
    <v>pt-BR</v>
    <v>apnlr7</v>
    <v>268435456</v>
    <v>1</v>
    <v>Da plataforma Refinitiv</v>
    <v>14</v>
    <v>15</v>
    <v>WHIRLPOOL S.A. (BVMF:WHRL4)</v>
    <v>12</v>
    <v>16</v>
    <v>Finance</v>
    <v>5</v>
    <v>5.08</v>
    <v>3.61</v>
    <v>BVMF</v>
    <v>1502786000</v>
    <v>4.4400000000000004</v>
    <v>1957</v>
    <v>4.29</v>
    <v>0.54669999999999996</v>
    <v>B3 - Brazil Stock Exchange</v>
    <v>6406518000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4.33</v>
    <v>8000</v>
    <v>45870.958333333336</v>
    <v>43</v>
    <v>22030</v>
    <v>BRL</v>
    <v>WHIRLPOOL S.A.</v>
    <v>WHIRLPOOL S.A.</v>
    <v>4.4000000000000004</v>
    <v>4.4000000000000004</v>
    <v>Rua Olympia Semeraro, 675, 1 Andar Sala 06 PA, Jardim Santa Emilia, SAO PAULO, SAO PAULO, 04.183-090 BR</v>
    <v>Household Goods</v>
    <v>WHRL4</v>
    <v>Ações</v>
    <v>WHIRLPOOL S.A. (BVMF:WHRL4)</v>
    <v>7.0000000000000007E-2</v>
    <v>1.6166E-2</v>
    <v>13500</v>
  </rv>
  <rv s="2">
    <v>44</v>
  </rv>
  <rv s="0">
    <v>https://www.bing.com/financeapi/forcetrigger?t=apnfmw&amp;q=BVMF%3aTELB4&amp;form=skydnc</v>
    <v>Learn more on Bing</v>
  </rv>
  <rv s="8">
    <v>pt-BR</v>
    <v>apnfmw</v>
    <v>268435456</v>
    <v>1</v>
    <v>Da plataforma Refinitiv</v>
    <v>14</v>
    <v>15</v>
    <v>Telecomunicações Brasileiras S.A. – TELEBRAS (BVMF:TELB4)</v>
    <v>12</v>
    <v>16</v>
    <v>Finance</v>
    <v>5</v>
    <v>10.7</v>
    <v>6.53</v>
    <v>BVMF</v>
    <v>101983400</v>
    <v>7.6</v>
    <v>1972</v>
    <v>7.55</v>
    <v>1.0099</v>
    <v>B3 - Brazil Stock Exchange</v>
    <v>1213847000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7.7</v>
    <v>469</v>
    <v>45870.958333333336</v>
    <v>46</v>
    <v>3530</v>
    <v>BRL</v>
    <v>Telecomunicações Brasileiras S.A. – TELEBRAS</v>
    <v>Telecomunicações Brasileiras S.A. – TELEBRAS</v>
    <v>7.56</v>
    <v>7.6</v>
    <v>SIG Quadra 4 lotes 075, 083, 125 e 175, Bloco A, Salas 211 a 224, Sig, BRASILIA, DISTRITO FEDERAL, 70.610-440 BR</v>
    <v>Telecommunications Services</v>
    <v>TELB4</v>
    <v>Ações</v>
    <v>Telecomunicações Brasileiras S.A. – TELEBRAS (BVMF:TELB4)</v>
    <v>-0.1</v>
    <v>-1.2987E-2</v>
    <v>600</v>
  </rv>
  <rv s="2">
    <v>47</v>
  </rv>
  <rv s="0">
    <v>https://www.bing.com/financeapi/forcetrigger?t=apn4gh&amp;q=BVMF%3aPETR4&amp;form=skydnc</v>
    <v>Learn more on Bing</v>
  </rv>
  <rv s="8">
    <v>pt-BR</v>
    <v>apn4gh</v>
    <v>268435456</v>
    <v>1</v>
    <v>Da plataforma Refinitiv</v>
    <v>14</v>
    <v>15</v>
    <v>Petróleo Brasileiro S.A. (Petrobras) (BVMF:PETR4)</v>
    <v>12</v>
    <v>16</v>
    <v>Finance</v>
    <v>5</v>
    <v>36.67</v>
    <v>28.79</v>
    <v>BVMF</v>
    <v>12888730000</v>
    <v>32.909999999999997</v>
    <v>1953</v>
    <v>32.04</v>
    <v>1.0201</v>
    <v>B3 - Brazil Stock Exchange</v>
    <v>437993700000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32.64</v>
    <v>49185</v>
    <v>45870.958333333336</v>
    <v>49</v>
    <v>23476880</v>
    <v>BRL</v>
    <v>Petróleo Brasileiro S.A. (Petrobras)</v>
    <v>Petróleo Brasileiro S.A. (Petrobras)</v>
    <v>32.799999999999997</v>
    <v>32.21</v>
    <v>Av. Republica do Chile, n 65, 24 andar, Centro, Rio de Janeiro, RIO DE JANEIRO, 20.031-912 BR</v>
    <v>Oil &amp; Gas</v>
    <v>PETR4</v>
    <v>Ações</v>
    <v>Petróleo Brasileiro S.A. (Petrobras) (BVMF:PETR4)</v>
    <v>-0.43</v>
    <v>-1.3173999999999998E-2</v>
    <v>24021300</v>
  </rv>
  <rv s="2">
    <v>50</v>
  </rv>
  <rv s="0">
    <v>https://www.bing.com/financeapi/forcetrigger?t=bzt9p2&amp;q=BVMF%3aASAI3&amp;form=skydnc</v>
    <v>Learn more on Bing</v>
  </rv>
  <rv s="8">
    <v>pt-BR</v>
    <v>bzt9p2</v>
    <v>268435456</v>
    <v>1</v>
    <v>Da plataforma Refinitiv</v>
    <v>14</v>
    <v>15</v>
    <v>Sendas Distribuidora S.A. (BVMF:ASAI3)</v>
    <v>12</v>
    <v>16</v>
    <v>Finance</v>
    <v>5</v>
    <v>12.04</v>
    <v>4.96</v>
    <v>BVMF</v>
    <v>1352245000</v>
    <v>9.84</v>
    <v>2003</v>
    <v>9.48</v>
    <v>1.4584999999999999</v>
    <v>B3 - Brazil Stock Exchange</v>
    <v>13116780000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9.41</v>
    <v>87000</v>
    <v>45870.958333333336</v>
    <v>52</v>
    <v>13638060</v>
    <v>BRL</v>
    <v>Sendas Distribuidora S.A.</v>
    <v>Sendas Distribuidora S.A.</v>
    <v>9.5399999999999991</v>
    <v>9.6999999999999993</v>
    <v>Avenida Ayrton Senna, 6.000 Jacarepagua, RIO DE JANEIRO, RIO DE JANEIRO, 22.775-005 BR</v>
    <v>Food &amp; Drug Retailing</v>
    <v>ASAI3</v>
    <v>Ações</v>
    <v>Sendas Distribuidora S.A. (BVMF:ASAI3)</v>
    <v>0.28999999999999998</v>
    <v>3.0817999999999998E-2</v>
    <v>13307000</v>
  </rv>
  <rv s="2">
    <v>53</v>
  </rv>
  <rv s="0">
    <v>https://www.bing.com/financeapi/forcetrigger?t=apncdm&amp;q=BVMF%3aSHUL4&amp;form=skydnc</v>
    <v>Learn more on Bing</v>
  </rv>
  <rv s="8">
    <v>pt-BR</v>
    <v>apncdm</v>
    <v>268435456</v>
    <v>1</v>
    <v>Da plataforma Refinitiv</v>
    <v>14</v>
    <v>15</v>
    <v>SCHULZ S.A. (BVMF:SHUL4)</v>
    <v>12</v>
    <v>16</v>
    <v>Finance</v>
    <v>5</v>
    <v>6.37</v>
    <v>4.91</v>
    <v>BVMF</v>
    <v>357374800</v>
    <v>5.0199999999999996</v>
    <v>1963</v>
    <v>4.9400000000000004</v>
    <v>0.58750000000000002</v>
    <v>B3 - Brazil Stock Exchange</v>
    <v>1023410000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5.04</v>
    <v>3699</v>
    <v>45870.958333333336</v>
    <v>55</v>
    <v>397700</v>
    <v>BRL</v>
    <v>SCHULZ S.A.</v>
    <v>SCHULZ S.A.</v>
    <v>4.97</v>
    <v>5</v>
    <v>Rua: Dona Francisca, 6901, Distrito Industrial, JOINVILLE, SANTA CATARINA, 89.219-600 BR</v>
    <v>Machinery, Equipment &amp; Components</v>
    <v>SHUL4</v>
    <v>Ações</v>
    <v>SCHULZ S.A. (BVMF:SHUL4)</v>
    <v>-0.04</v>
    <v>-7.9369999999999996E-3</v>
    <v>570100</v>
  </rv>
  <rv s="2">
    <v>56</v>
  </rv>
  <rv s="0">
    <v>https://www.bing.com/financeapi/forcetrigger?t=apmuyc&amp;q=BVMF%3aLEVE3&amp;form=skydnc</v>
    <v>Learn more on Bing</v>
  </rv>
  <rv s="8">
    <v>pt-BR</v>
    <v>apmuyc</v>
    <v>268435456</v>
    <v>1</v>
    <v>Da plataforma Refinitiv</v>
    <v>14</v>
    <v>15</v>
    <v>MAHLE Metal Leve S.A (BVMF:LEVE3)</v>
    <v>12</v>
    <v>16</v>
    <v>Finance</v>
    <v>5</v>
    <v>32.83</v>
    <v>24.46</v>
    <v>BVMF</v>
    <v>135539000</v>
    <v>28.79</v>
    <v>1950</v>
    <v>28.01</v>
    <v>0.75829999999999997</v>
    <v>B3 - Brazil Stock Exchange</v>
    <v>3834398000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28.59</v>
    <v>7560</v>
    <v>45870.958333333336</v>
    <v>58</v>
    <v>202800</v>
    <v>BRL</v>
    <v>MAHLE Metal Leve S.A</v>
    <v>MAHLE Metal Leve S.A</v>
    <v>28.54</v>
    <v>28.29</v>
    <v>Av. Ernst MAHLE, 2000, Mombaca, MOGI GUACU, SAO PAULO, 13.849-050 BR</v>
    <v>Automobiles &amp; Auto Parts</v>
    <v>LEVE3</v>
    <v>Ações</v>
    <v>MAHLE Metal Leve S.A (BVMF:LEVE3)</v>
    <v>-0.3</v>
    <v>-1.0492999999999999E-2</v>
    <v>229600</v>
  </rv>
  <rv s="2">
    <v>59</v>
  </rv>
  <rv s="0">
    <v>https://www.bing.com/financeapi/forcetrigger?t=apmb7w&amp;q=BVMF%3aCPLE6&amp;form=skydnc</v>
    <v>Learn more on Bing</v>
  </rv>
  <rv s="8">
    <v>pt-BR</v>
    <v>apmb7w</v>
    <v>268435456</v>
    <v>1</v>
    <v>Da plataforma Refinitiv</v>
    <v>14</v>
    <v>15</v>
    <v>Companhia Paranaense de Energia - Copel (BVMF:CPLE6)</v>
    <v>12</v>
    <v>16</v>
    <v>Finance</v>
    <v>5</v>
    <v>12.88</v>
    <v>8.39</v>
    <v>BVMF</v>
    <v>2982811000</v>
    <v>12.08</v>
    <v>1954</v>
    <v>11.9</v>
    <v>0.84519999999999995</v>
    <v>B3 - Brazil Stock Exchange</v>
    <v>34607020000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11.86</v>
    <v>4396</v>
    <v>45870.958333333336</v>
    <v>61</v>
    <v>10620800</v>
    <v>BRL</v>
    <v>Companhia Paranaense de Energia - Copel</v>
    <v>Companhia Paranaense de Energia - Copel</v>
    <v>12</v>
    <v>11.93</v>
    <v>Rua Jose Izidoro Biazetto, 158, Orleans, CURITIBA, PARANA, 81.200-240 BR</v>
    <v>Electrical Utilities &amp; IPPs</v>
    <v>CPLE6</v>
    <v>Ações</v>
    <v>Companhia Paranaense de Energia - Copel (BVMF:CPLE6)</v>
    <v>7.0000000000000007E-2</v>
    <v>5.9019999999999993E-3</v>
    <v>12716500</v>
  </rv>
  <rv s="2">
    <v>62</v>
  </rv>
  <rv s="0">
    <v>https://www.bing.com/financeapi/forcetrigger?t=apm7rw&amp;q=BVMF%3aCEBR6&amp;form=skydnc</v>
    <v>Learn more on Bing</v>
  </rv>
  <rv s="8">
    <v>pt-BR</v>
    <v>apm7rw</v>
    <v>268435456</v>
    <v>1</v>
    <v>Da plataforma Refinitiv</v>
    <v>14</v>
    <v>15</v>
    <v>COMPANHIA ENERGÉTICA DE BRASÍLIA - CEB (BVMF:CEBR6)</v>
    <v>12</v>
    <v>16</v>
    <v>Finance</v>
    <v>5</v>
    <v>22.35</v>
    <v>14.98</v>
    <v>BVMF</v>
    <v>72081910</v>
    <v>21.15</v>
    <v>1968</v>
    <v>20.81</v>
    <v>0.64390000000000003</v>
    <v>B3 - Brazil Stock Exchange</v>
    <v>1439438000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20.92</v>
    <v>845</v>
    <v>45870.958333333336</v>
    <v>64</v>
    <v>2330</v>
    <v>BRL</v>
    <v>COMPANHIA ENERGÉTICA DE BRASÍLIA - CEB</v>
    <v>COMPANHIA ENERGÉTICA DE BRASÍLIA - CEB</v>
    <v>20.81</v>
    <v>20.9</v>
    <v>SGAN Quadra 601, Bloco H, Salas 2010 a 2023 Edificio ION, Asa Norte, BRASILIA, DISTRITO FEDERAL, 70.830-010 BR</v>
    <v>Electrical Utilities &amp; IPPs</v>
    <v>CEBR6</v>
    <v>Ações</v>
    <v>COMPANHIA ENERGÉTICA DE BRASÍLIA - CEB (BVMF:CEBR6)</v>
    <v>-0.02</v>
    <v>-9.5600000000000004E-4</v>
    <v>5900</v>
  </rv>
  <rv s="2">
    <v>65</v>
  </rv>
  <rv s="0">
    <v>https://www.bing.com/financeapi/forcetrigger?t=awjx27&amp;q=BVMF%3aPRNR3&amp;form=skydnc</v>
    <v>Learn more on Bing</v>
  </rv>
  <rv s="8">
    <v>pt-BR</v>
    <v>awjx27</v>
    <v>268435456</v>
    <v>1</v>
    <v>Da plataforma Refinitiv</v>
    <v>14</v>
    <v>15</v>
    <v>PRINER SERVIÇOS INDUSTRIAIS S.A. (BVMF:PRNR3)</v>
    <v>12</v>
    <v>16</v>
    <v>Finance</v>
    <v>5</v>
    <v>17.829999999999998</v>
    <v>9.8800000000000008</v>
    <v>BVMF</v>
    <v>56720760</v>
    <v>15.44</v>
    <v>2013</v>
    <v>14.95</v>
    <v>1.0056</v>
    <v>B3 - Brazil Stock Exchange</v>
    <v>847975300</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15.33</v>
    <v>6994</v>
    <v>45870.958333333336</v>
    <v>67</v>
    <v>371750</v>
    <v>BRL</v>
    <v>PRINER SERVIÇOS INDUSTRIAIS S.A.</v>
    <v>PRINER SERVIÇOS INDUSTRIAIS S.A.</v>
    <v>15.44</v>
    <v>14.95</v>
    <v>Av. Geremario Dantas, 1400 2. Piso - Quality Shopping - Freguesia Jacarepagua, RIO DE JANEIRO, RIO DE JANEIRO BR</v>
    <v>Professional &amp; Commercial Services</v>
    <v>PRNR3</v>
    <v>Ações</v>
    <v>PRINER SERVIÇOS INDUSTRIAIS S.A. (BVMF:PRNR3)</v>
    <v>-0.38</v>
    <v>-2.4788000000000001E-2</v>
    <v>421400</v>
  </rv>
  <rv s="2">
    <v>68</v>
  </rv>
  <rv s="0">
    <v>https://www.bing.com/financeapi/forcetrigger?t=apma5r&amp;q=BVMF%3aCMIG4&amp;form=skydnc</v>
    <v>Learn more on Bing</v>
  </rv>
  <rv s="8">
    <v>pt-BR</v>
    <v>apma5r</v>
    <v>268435456</v>
    <v>1</v>
    <v>Da plataforma Refinitiv</v>
    <v>14</v>
    <v>15</v>
    <v>Companhia Energética de Minas Gerais - CEMIG (BVMF:CMIG4)</v>
    <v>12</v>
    <v>16</v>
    <v>Finance</v>
    <v>5</v>
    <v>11.27</v>
    <v>8.7100000000000009</v>
    <v>BVMF</v>
    <v>2861782000</v>
    <v>10.48</v>
    <v>1952</v>
    <v>10.31</v>
    <v>0.80810000000000004</v>
    <v>B3 - Brazil Stock Exchange</v>
    <v>33771180000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10.33</v>
    <v>5028</v>
    <v>45870.958333333336</v>
    <v>70</v>
    <v>10323350</v>
    <v>BRL</v>
    <v>Companhia Energética de Minas Gerais - CEMIG</v>
    <v>Companhia Energética de Minas Gerais - CEMIG</v>
    <v>10.42</v>
    <v>10.34</v>
    <v>Avenida Barbacena, 1200, 16 / B1, Santo Agostinho, BELO HORIZONTE, MINAS GERAIS, 30.190-131 BR</v>
    <v>Electrical Utilities &amp; IPPs</v>
    <v>CMIG4</v>
    <v>Ações</v>
    <v>Companhia Energética de Minas Gerais - CEMIG (BVMF:CMIG4)</v>
    <v>0.01</v>
    <v>9.6809999999999995E-4</v>
    <v>7475300</v>
  </rv>
  <rv s="2">
    <v>71</v>
  </rv>
  <rv s="0">
    <v>https://www.bing.com/financeapi/forcetrigger?t=aplzu2&amp;q=BVMF%3aBEES4&amp;form=skydnc</v>
    <v>Learn more on Bing</v>
  </rv>
  <rv s="8">
    <v>pt-BR</v>
    <v>aplzu2</v>
    <v>268435456</v>
    <v>1</v>
    <v>Da plataforma Refinitiv</v>
    <v>14</v>
    <v>15</v>
    <v>BANESTES S.A. – Banco do Estado do Espírito Santo (BVMF:BEES4)</v>
    <v>12</v>
    <v>16</v>
    <v>Finance</v>
    <v>5</v>
    <v>9.7899999999999991</v>
    <v>7.8</v>
    <v>BVMF</v>
    <v>315912900</v>
    <v>8.58</v>
    <v>1937</v>
    <v>8.43</v>
    <v>0.43819999999999998</v>
    <v>B3 - Brazil Stock Exchange</v>
    <v>2655840000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8.59</v>
    <v>2204</v>
    <v>45870.958333333336</v>
    <v>73</v>
    <v>9450</v>
    <v>BRL</v>
    <v>BANESTES S.A. – Banco do Estado do Espírito Santo</v>
    <v>BANESTES S.A. – Banco do Estado do Espírito Santo</v>
    <v>8.43</v>
    <v>8.48</v>
    <v>Av Princesa Isabel 574, BL B, 9 ANDAR, Centro, VITORIA, ESPIRITO SANTO, 29.010-931 BR</v>
    <v>Banking Services</v>
    <v>BEES4</v>
    <v>Ações</v>
    <v>BANESTES S.A. – Banco do Estado do Espírito Santo (BVMF:BEES4)</v>
    <v>-0.11</v>
    <v>-1.2806E-2</v>
    <v>2300</v>
  </rv>
  <rv s="2">
    <v>74</v>
  </rv>
  <rv s="0">
    <v>https://www.bing.com/financeapi/forcetrigger?t=apn5a2&amp;q=BVMF%3aPOMO3&amp;form=skydnc</v>
    <v>Learn more on Bing</v>
  </rv>
  <rv s="8">
    <v>pt-BR</v>
    <v>apn5a2</v>
    <v>268435456</v>
    <v>1</v>
    <v>Da plataforma Refinitiv</v>
    <v>14</v>
    <v>15</v>
    <v>MARCOPOLO S.A. (BVMF:POMO3)</v>
    <v>12</v>
    <v>16</v>
    <v>Finance</v>
    <v>5</v>
    <v>7.15</v>
    <v>4.45</v>
    <v>BVMF</v>
    <v>1136271000</v>
    <v>7.15</v>
    <v>1949</v>
    <v>6.76</v>
    <v>0.79479999999999995</v>
    <v>B3 - Brazil Stock Exchange</v>
    <v>9330745000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6.65</v>
    <v>16027</v>
    <v>45870.958333333336</v>
    <v>76</v>
    <v>10186510</v>
    <v>BRL</v>
    <v>MARCOPOLO S.A.</v>
    <v>MARCOPOLO S.A.</v>
    <v>6.76</v>
    <v>7.01</v>
    <v>Avenida Marcopolo,280, Planalto, CAXIAS DO SUL, RIO GRANDE DO SUL, 95.086-200 BR</v>
    <v>Automobiles &amp; Auto Parts</v>
    <v>POMO3</v>
    <v>Ações</v>
    <v>MARCOPOLO S.A. (BVMF:POMO3)</v>
    <v>0.36</v>
    <v>5.4135000000000003E-2</v>
    <v>446700</v>
  </rv>
  <rv s="2">
    <v>77</v>
  </rv>
  <rv s="0">
    <v>https://www.bing.com/financeapi/forcetrigger?t=bxgdk2&amp;q=BVMF%3aBMOB3&amp;form=skydnc</v>
    <v>Learn more on Bing</v>
  </rv>
  <rv s="9">
    <v>pt-BR</v>
    <v>bxgdk2</v>
    <v>268435456</v>
    <v>1</v>
    <v>Da plataforma Refinitiv</v>
    <v>17</v>
    <v>18</v>
    <v>BEMOBI MOBILE TECH S.A. (BVMF:BMOB3)</v>
    <v>12</v>
    <v>19</v>
    <v>Finance</v>
    <v>5</v>
    <v>23.45</v>
    <v>12.4</v>
    <v>BVMF</v>
    <v>85608390</v>
    <v>20.83</v>
    <v>2007</v>
    <v>20.2</v>
    <v>1.2261</v>
    <v>B3 - Brazil Stock Exchange</v>
    <v>1731858000</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20.39</v>
    <v>45870.958333333336</v>
    <v>79</v>
    <v>378250</v>
    <v>BRL</v>
    <v>BEMOBI MOBILE TECH S.A.</v>
    <v>BEMOBI MOBILE TECH S.A.</v>
    <v>20.47</v>
    <v>20.23</v>
    <v>Av. Barao de Tefe, n. 27 12 Andar, Saude, RIO DE JANEIRO, RIO DE JANEIRO, 20.220-460 BR</v>
    <v>Software &amp; IT Services</v>
    <v>BMOB3</v>
    <v>Ações</v>
    <v>BEMOBI MOBILE TECH S.A. (BVMF:BMOB3)</v>
    <v>-0.16</v>
    <v>-7.8469999999999998E-3</v>
    <v>468000</v>
  </rv>
  <rv s="2">
    <v>80</v>
  </rv>
  <rv s="0">
    <v>https://www.bing.com/financeapi/forcetrigger?t=apmzur&amp;q=BVMF%3aMTSA4&amp;form=skydnc</v>
    <v>Learn more on Bing</v>
  </rv>
  <rv s="8">
    <v>pt-BR</v>
    <v>apmzur</v>
    <v>268435456</v>
    <v>1</v>
    <v>Da plataforma Refinitiv</v>
    <v>14</v>
    <v>15</v>
    <v>METISA METALURGICA TIMBOENSE S.A. (BVMF:MTSA4)</v>
    <v>12</v>
    <v>16</v>
    <v>Finance</v>
    <v>5</v>
    <v>44</v>
    <v>29.96</v>
    <v>BVMF</v>
    <v>9137260</v>
    <v>43.98</v>
    <v>1942</v>
    <v>43.98</v>
    <v>0.4521</v>
    <v>B3 - Brazil Stock Exchange</v>
    <v>401856800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43.99</v>
    <v>1065</v>
    <v>45870.958333333336</v>
    <v>82</v>
    <v>1580</v>
    <v>BRL</v>
    <v>METISA METALURGICA TIMBOENSE S.A.</v>
    <v>METISA METALURGICA TIMBOENSE S.A.</v>
    <v>43.98</v>
    <v>43.98</v>
    <v>Rua Fritz Lorenz, 2442, Distrito Industrial, TIMBO, SANTA CATARINA, 89.120-000 BR</v>
    <v>Machinery, Equipment &amp; Components</v>
    <v>MTSA4</v>
    <v>Ações</v>
    <v>METISA METALURGICA TIMBOENSE S.A. (BVMF:MTSA4)</v>
    <v>-0.01</v>
    <v>-2.273E-4</v>
    <v>100</v>
  </rv>
  <rv s="2">
    <v>83</v>
  </rv>
  <rv s="0">
    <v>https://www.bing.com/financeapi/forcetrigger?t=bgnmm7&amp;q=BVMF%3aCAMB3&amp;form=skydnc</v>
    <v>Learn more on Bing</v>
  </rv>
  <rv s="8">
    <v>pt-BR</v>
    <v>bgnmm7</v>
    <v>268435456</v>
    <v>1</v>
    <v>Da plataforma Refinitiv</v>
    <v>14</v>
    <v>15</v>
    <v>CAMBUCI S.A. (BVMF:CAMB3)</v>
    <v>12</v>
    <v>16</v>
    <v>Finance</v>
    <v>5</v>
    <v>12.33</v>
    <v>9.1300000000000008</v>
    <v>BVMF</v>
    <v>42275080</v>
    <v>9.3800000000000008</v>
    <v>1945</v>
    <v>9.24</v>
    <v>0.14099999999999999</v>
    <v>B3 - Brazil Stock Exchange</v>
    <v>392312700</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9.3000000000000007</v>
    <v>2078</v>
    <v>45870.958333333336</v>
    <v>85</v>
    <v>87500</v>
    <v>BRL</v>
    <v>CAMBUCI S.A.</v>
    <v>CAMBUCI S.A.</v>
    <v>9.25</v>
    <v>9.2799999999999994</v>
    <v>Avenida Getulio Vargas, 930,Escritorio, Marmeleiro, SAO PAULO, SAO PAULO, 18.130-430 BR</v>
    <v>Leisure Products</v>
    <v>CAMB3</v>
    <v>Ações</v>
    <v>CAMBUCI S.A. (BVMF:CAMB3)</v>
    <v>-0.02</v>
    <v>-2.1510000000000001E-3</v>
    <v>19500</v>
  </rv>
  <rv s="2">
    <v>86</v>
  </rv>
  <rv s="0">
    <v>https://www.bing.com/financeapi/forcetrigger?t=apm3m7&amp;q=BVMF%3aBRAP3&amp;form=skydnc</v>
    <v>Learn more on Bing</v>
  </rv>
  <rv s="9">
    <v>pt-BR</v>
    <v>apm3m7</v>
    <v>268435456</v>
    <v>1</v>
    <v>Da plataforma Refinitiv</v>
    <v>17</v>
    <v>18</v>
    <v>Bradespar S.A (BVMF:BRAP3)</v>
    <v>12</v>
    <v>19</v>
    <v>Finance</v>
    <v>5</v>
    <v>17.239999999999998</v>
    <v>14</v>
    <v>BVMF</v>
    <v>393096600</v>
    <v>15.12</v>
    <v>2000</v>
    <v>14.48</v>
    <v>0.92410000000000003</v>
    <v>B3 - Brazil Stock Exchange</v>
    <v>5983408000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14.58</v>
    <v>45870.958333333336</v>
    <v>88</v>
    <v>3807720</v>
    <v>BRL</v>
    <v>Bradespar S.A</v>
    <v>Bradespar S.A</v>
    <v>14.68</v>
    <v>14.49</v>
    <v>Avenida Paulista, 1.450,9 andar, Cerqueira Cesar, SAO PAULO, SAO PAULO, 01.310-917 BR</v>
    <v>Metals &amp; Mining</v>
    <v>BRAP3</v>
    <v>Ações</v>
    <v>Bradespar S.A (BVMF:BRAP3)</v>
    <v>-0.09</v>
    <v>-6.1729999999999997E-3</v>
    <v>69500</v>
  </rv>
  <rv s="2">
    <v>89</v>
  </rv>
  <rv s="0">
    <v>https://www.bing.com/financeapi/forcetrigger?t=apmpkr&amp;q=BVMF%3aHAGA4&amp;form=skydnc</v>
    <v>Learn more on Bing</v>
  </rv>
  <rv s="9">
    <v>pt-BR</v>
    <v>apmpkr</v>
    <v>268435456</v>
    <v>1</v>
    <v>Da plataforma Refinitiv</v>
    <v>17</v>
    <v>18</v>
    <v>HAGA S.A. INDUSTRIA E COMERCIO (BVMF:HAGA4)</v>
    <v>12</v>
    <v>19</v>
    <v>Finance</v>
    <v>5</v>
    <v>1.39</v>
    <v>1.1299999999999999</v>
    <v>BVMF</v>
    <v>11900000</v>
    <v>1.1599999999999999</v>
    <v>1937</v>
    <v>1.1599999999999999</v>
    <v>1.0255000000000001</v>
    <v>B3 - Brazil Stock Exchange</v>
    <v>17294670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1.18</v>
    <v>45870.958333333336</v>
    <v>91</v>
    <v>15930</v>
    <v>BRL</v>
    <v>HAGA S.A. INDUSTRIA E COMERCIO</v>
    <v>HAGA S.A. INDUSTRIA E COMERCIO</v>
    <v>1.1599999999999999</v>
    <v>1.1599999999999999</v>
    <v>Avenida Engenheiro Hans Gaiser, 26,Predio, Centro, NOVA FRIBURGO, RIO DE JANEIRO, 28.605-220 BR</v>
    <v>Specialty Retailers</v>
    <v>HAGA4</v>
    <v>Ações</v>
    <v>HAGA S.A. INDUSTRIA E COMERCIO (BVMF:HAGA4)</v>
    <v>-0.02</v>
    <v>-1.6949000000000002E-2</v>
    <v>200</v>
  </rv>
  <rv s="2">
    <v>92</v>
  </rv>
  <rv s="0">
    <v>https://www.bing.com/financeapi/forcetrigger?t=apnaw7&amp;q=BVMF%3aSANB3&amp;form=skydnc</v>
    <v>Learn more on Bing</v>
  </rv>
  <rv s="12">
    <v>pt-BR</v>
    <v>apnaw7</v>
    <v>268435456</v>
    <v>1</v>
    <v>Da plataforma Refinitiv</v>
    <v>20</v>
    <v>21</v>
    <v>Banco Santander (Brasil) S.A. (BVMF:SANB3)</v>
    <v>23</v>
    <v>24</v>
    <v>Finance</v>
    <v>5</v>
    <v>14.42</v>
    <v>10.31</v>
    <v>BVMF</v>
    <v>3749266000</v>
    <v>12.72</v>
    <v>1985</v>
    <v>12.22</v>
    <v>1.1026</v>
    <v>B3 - Brazil Stock Exchange</v>
    <v>97201100000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12.55</v>
    <v>55646</v>
    <v>45870.958333333336</v>
    <v>39</v>
    <v>94</v>
    <v>62790</v>
    <v>BRL</v>
    <v>Banco Santander (Brasil) S.A.</v>
    <v>Banco Santander (Brasil) S.A.</v>
    <v>12.56</v>
    <v>12.31</v>
    <v>Avenida Presidente Juscelino Kubitschek, n 2041 CJ 281, Bloco A, Vila Nova Conceicao, SAO PAULO, SAO PAULO, 04.543-011 BR</v>
    <v>Banking Services</v>
    <v>SANB3</v>
    <v>Ações</v>
    <v>Banco Santander (Brasil) S.A. (BVMF:SANB3)</v>
    <v>-0.24</v>
    <v>-1.9124000000000002E-2</v>
    <v>59400</v>
  </rv>
  <rv s="2">
    <v>95</v>
  </rv>
  <rv s="0">
    <v>https://www.bing.com/financeapi/forcetrigger?t=apm6pr&amp;q=BVMF%3aCARD3&amp;form=skydnc</v>
    <v>Learn more on Bing</v>
  </rv>
  <rv s="8">
    <v>pt-BR</v>
    <v>apm6pr</v>
    <v>268435456</v>
    <v>1</v>
    <v>Da plataforma Refinitiv</v>
    <v>14</v>
    <v>15</v>
    <v>CSU DIGITAL S.A. (BVMF:CSUD3)</v>
    <v>12</v>
    <v>16</v>
    <v>Finance</v>
    <v>5</v>
    <v>19.100000000000001</v>
    <v>13.46</v>
    <v>BVMF</v>
    <v>41800000</v>
    <v>18.239999999999998</v>
    <v>1997</v>
    <v>17.66</v>
    <v>0.9738</v>
    <v>B3 - Brazil Stock Exchange</v>
    <v>756580000</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17.690000000000001</v>
    <v>6600</v>
    <v>45870.958333333336</v>
    <v>97</v>
    <v>27810</v>
    <v>BRL</v>
    <v>CSU DIGITAL S.A.</v>
    <v>CSU DIGITAL S.A.</v>
    <v>17.89</v>
    <v>18.100000000000001</v>
    <v>Rua Piaui 136, Nova Aldeinha, BARUERI, SAO PAULO, 06.440-182 BR</v>
    <v>Banking Services</v>
    <v>CSUD3</v>
    <v>Ações</v>
    <v>CSU DIGITAL S.A. (BVMF:CSUD3)</v>
    <v>0.41</v>
    <v>2.3177E-2</v>
    <v>50500</v>
  </rv>
  <rv s="2">
    <v>98</v>
  </rv>
  <rv s="0">
    <v>https://www.bing.com/financeapi/forcetrigger?t=c13h5r&amp;q=BVMF%3aBLAU3&amp;form=skydnc</v>
    <v>Learn more on Bing</v>
  </rv>
  <rv s="8">
    <v>pt-BR</v>
    <v>c13h5r</v>
    <v>268435456</v>
    <v>1</v>
    <v>Da plataforma Refinitiv</v>
    <v>14</v>
    <v>15</v>
    <v>Blau Farmacêutica S/A (BVMF:BLAU3)</v>
    <v>12</v>
    <v>16</v>
    <v>Finance</v>
    <v>5</v>
    <v>17.27</v>
    <v>9.76</v>
    <v>BVMF</v>
    <v>179393900</v>
    <v>12.66</v>
    <v>1987</v>
    <v>12.3</v>
    <v>1.0190999999999999</v>
    <v>B3 - Brazil Stock Exchange</v>
    <v>2206545000</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12.35</v>
    <v>1900</v>
    <v>45870.958333333336</v>
    <v>100</v>
    <v>249670</v>
    <v>BRL</v>
    <v>Blau Farmacêutica S/A</v>
    <v>Blau Farmacêutica S/A</v>
    <v>12.37</v>
    <v>12.3</v>
    <v>Rodovia Raposo Tavares, 2833, km 30,5, Barro Branco, COTIA, SAO PAULO, 06.705-030 BR</v>
    <v>Pharmaceuticals</v>
    <v>BLAU3</v>
    <v>Ações</v>
    <v>Blau Farmacêutica S/A (BVMF:BLAU3)</v>
    <v>-0.05</v>
    <v>-4.0489999999999996E-3</v>
    <v>233300</v>
  </rv>
  <rv s="2">
    <v>101</v>
  </rv>
  <rv s="0">
    <v>https://www.bing.com/financeapi/forcetrigger?t=apmnjc&amp;q=BVMF%3aGGBR3&amp;form=skydnc</v>
    <v>Learn more on Bing</v>
  </rv>
  <rv s="8">
    <v>pt-BR</v>
    <v>apmnjc</v>
    <v>268435456</v>
    <v>1</v>
    <v>Da plataforma Refinitiv</v>
    <v>14</v>
    <v>15</v>
    <v>GERDAU S.A. (BVMF:GGBR3)</v>
    <v>12</v>
    <v>16</v>
    <v>Finance</v>
    <v>5</v>
    <v>19.93</v>
    <v>13.4</v>
    <v>BVMF</v>
    <v>2013814000</v>
    <v>14.74</v>
    <v>1961</v>
    <v>14.31</v>
    <v>0.65059999999999996</v>
    <v>B3 - Brazil Stock Exchange</v>
    <v>31115360000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14.6</v>
    <v>25557</v>
    <v>45870.958333333336</v>
    <v>103</v>
    <v>10720030</v>
    <v>BRL</v>
    <v>GERDAU S.A.</v>
    <v>GERDAU S.A.</v>
    <v>14.7</v>
    <v>14.37</v>
    <v>Avenida Doutora Ruth Cardoso, 8.501, 8 andar, Pinheiros, SAO PAULO, SAO PAULO, 05.425-070 BR</v>
    <v>Metals &amp; Mining</v>
    <v>GGBR3</v>
    <v>Ações</v>
    <v>GERDAU S.A. (BVMF:GGBR3)</v>
    <v>-0.23</v>
    <v>-1.5753E-2</v>
    <v>57900</v>
  </rv>
  <rv s="2">
    <v>104</v>
  </rv>
  <rv s="0">
    <v>https://www.bing.com/financeapi/forcetrigger?t=apmbm7&amp;q=BVMF%3aCRFB3&amp;form=skydnc</v>
    <v>Learn more on Bing</v>
  </rv>
  <rv s="8">
    <v>pt-BR</v>
    <v>apmbm7</v>
    <v>268435456</v>
    <v>1</v>
    <v>Da plataforma Refinitiv</v>
    <v>14</v>
    <v>15</v>
    <v>ATACADÃO S.A. (BVMF:CRFB3)</v>
    <v>12</v>
    <v>16</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106</v>
    <v>3276280</v>
    <v>BRL</v>
    <v>ATACADÃO S.A.</v>
    <v>ATACADÃO S.A.</v>
    <v>8.4600000000000009</v>
    <v>8.48</v>
    <v>Avenida Morvan Dias de Figueiredo 6169, Vila Mariana, SAO PAULO, SAO PAULO, 02.170-901 BR</v>
    <v>Food &amp; Drug Retailing</v>
    <v>CRFB3</v>
    <v>Ações</v>
    <v>ATACADÃO S.A. (BVMF:CRFB3)</v>
    <v>0</v>
    <v>0</v>
    <v>14418400</v>
  </rv>
  <rv s="2">
    <v>107</v>
  </rv>
  <rv s="0">
    <v>https://www.bing.com/financeapi/forcetrigger?t=apnb5r&amp;q=BVMF%3aSAPR3&amp;form=skydnc</v>
    <v>Learn more on Bing</v>
  </rv>
  <rv s="8">
    <v>pt-BR</v>
    <v>apnb5r</v>
    <v>268435456</v>
    <v>1</v>
    <v>Da plataforma Refinitiv</v>
    <v>14</v>
    <v>15</v>
    <v>Companhia de Saneamento do Paraná - Sanepar (BVMF:SAPR3)</v>
    <v>12</v>
    <v>16</v>
    <v>Finance</v>
    <v>5</v>
    <v>8.0500000000000007</v>
    <v>4.6500000000000004</v>
    <v>BVMF</v>
    <v>1511206000</v>
    <v>7.66</v>
    <v>1963</v>
    <v>7.43</v>
    <v>0.61319999999999997</v>
    <v>B3 - Brazil Stock Exchange</v>
    <v>10386970000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7.63</v>
    <v>6047</v>
    <v>45870.958333333336</v>
    <v>109</v>
    <v>1032460</v>
    <v>BRL</v>
    <v>Companhia de Saneamento do Paraná - Sanepar</v>
    <v>Companhia de Saneamento do Paraná - Sanepar</v>
    <v>7.64</v>
    <v>7.54</v>
    <v>Rua Engenheiros Reboucas, 1376, Reboucas, CURITIBA, PARANA, 80.215-900 BR</v>
    <v>Water Utilities</v>
    <v>SAPR3</v>
    <v>Ações</v>
    <v>Companhia de Saneamento do Paraná - Sanepar (BVMF:SAPR3)</v>
    <v>-0.09</v>
    <v>-1.1795999999999999E-2</v>
    <v>250500</v>
  </rv>
  <rv s="2">
    <v>110</v>
  </rv>
  <rv s="0">
    <v>https://www.bing.com/financeapi/forcetrigger?t=apltsm&amp;q=BVMF%3aABCB4&amp;form=skydnc</v>
    <v>Learn more on Bing</v>
  </rv>
  <rv s="8">
    <v>pt-BR</v>
    <v>apltsm</v>
    <v>268435456</v>
    <v>1</v>
    <v>Da plataforma Refinitiv</v>
    <v>14</v>
    <v>15</v>
    <v>Banco ABC Brasil S.A (BVMF:ABCB4)</v>
    <v>12</v>
    <v>16</v>
    <v>Finance</v>
    <v>5</v>
    <v>22.12</v>
    <v>17.850000000000001</v>
    <v>BVMF</v>
    <v>121695200</v>
    <v>21.93</v>
    <v>1983</v>
    <v>21.1</v>
    <v>0.90690000000000004</v>
    <v>B3 - Brazil Stock Exchange</v>
    <v>2584805000</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21.59</v>
    <v>441</v>
    <v>45870.958333333336</v>
    <v>112</v>
    <v>549150</v>
    <v>BRL</v>
    <v>Banco ABC Brasil S.A</v>
    <v>Banco ABC Brasil S.A</v>
    <v>21.58</v>
    <v>21.24</v>
    <v>Av. Cidade Jardim, 803 2 andar, Itaim Bibi, SAO PAULO, SAO PAULO, 01.453-000 BR</v>
    <v>Banking Services</v>
    <v>ABCB4</v>
    <v>Ações</v>
    <v>Banco ABC Brasil S.A (BVMF:ABCB4)</v>
    <v>-0.35</v>
    <v>-1.6211E-2</v>
    <v>507700</v>
  </rv>
  <rv s="2">
    <v>113</v>
  </rv>
  <rv s="0">
    <v>https://www.bing.com/financeapi/forcetrigger?t=apm5c7&amp;q=BVMF%3aBRSR6&amp;form=skydnc</v>
    <v>Learn more on Bing</v>
  </rv>
  <rv s="8">
    <v>pt-BR</v>
    <v>apm5c7</v>
    <v>268435456</v>
    <v>1</v>
    <v>Da plataforma Refinitiv</v>
    <v>14</v>
    <v>15</v>
    <v>BANCO DO ESTADO DO RIO GRANDE DO SUL S.A. (BVMF:BRSR6)</v>
    <v>12</v>
    <v>16</v>
    <v>Finance</v>
    <v>5</v>
    <v>12.8</v>
    <v>9.1199999999999992</v>
    <v>BVMF</v>
    <v>408974500</v>
    <v>11.08</v>
    <v>1928</v>
    <v>10.74</v>
    <v>1.0801000000000001</v>
    <v>B3 - Brazil Stock Exchange</v>
    <v>4536217000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10.97</v>
    <v>9364</v>
    <v>45870.958333333336</v>
    <v>115</v>
    <v>1150220</v>
    <v>BRL</v>
    <v>BANCO DO ESTADO DO RIO GRANDE DO SUL S.A.</v>
    <v>BANCO DO ESTADO DO RIO GRANDE DO SUL S.A.</v>
    <v>10.99</v>
    <v>10.78</v>
    <v>Rua Capitao Montanha, 177, Centro, PORTO ALEGRE, RIO GRANDE DO SUL, 90.018-900 BR</v>
    <v>Banking Services</v>
    <v>BRSR6</v>
    <v>Ações</v>
    <v>BANCO DO ESTADO DO RIO GRANDE DO SUL S.A. (BVMF:BRSR6)</v>
    <v>-0.19</v>
    <v>-1.7319999999999999E-2</v>
    <v>984700</v>
  </rv>
  <rv s="2">
    <v>116</v>
  </rv>
  <rv s="0">
    <v>https://www.bing.com/financeapi/forcetrigger?t=c3uxhw&amp;q=BVMF%3aPORT3&amp;form=skydnc</v>
    <v>Learn more on Bing</v>
  </rv>
  <rv s="9">
    <v>pt-BR</v>
    <v>c3uxhw</v>
    <v>268435456</v>
    <v>1</v>
    <v>Da plataforma Refinitiv</v>
    <v>17</v>
    <v>18</v>
    <v>Wilson Sons S.A. (BVMF:PORT3)</v>
    <v>12</v>
    <v>19</v>
    <v>Finance</v>
    <v>5</v>
    <v>17.89</v>
    <v>14.68</v>
    <v>BVMF</v>
    <v>440977900</v>
    <v>17.72</v>
    <v>1971</v>
    <v>17.649999999999999</v>
    <v>1.0586</v>
    <v>B3 - Brazil Stock Exchange</v>
    <v>7809719000</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17.7</v>
    <v>45870.837500775</v>
    <v>118</v>
    <v>708310</v>
    <v>BRL</v>
    <v>Wilson Sons S.A.</v>
    <v>Wilson Sons S.A.</v>
    <v>17.649999999999999</v>
    <v>17.71</v>
    <v>Praia de Botafogo 186, 4 andar, Botafogo, RIO DE JANEIRO, RIO DE JANEIRO, 22.250-145 BR</v>
    <v>Transport Infrastructure</v>
    <v>PORT3</v>
    <v>Ações</v>
    <v>Wilson Sons S.A. (BVMF:PORT3)</v>
    <v>0.01</v>
    <v>5.6499999999999996E-4</v>
    <v>760600</v>
  </rv>
  <rv s="2">
    <v>119</v>
  </rv>
  <rv s="0">
    <v>https://www.bing.com/financeapi/forcetrigger?t=apn4rw&amp;q=BVMF%3aPINE4&amp;form=skydnc</v>
    <v>Learn more on Bing</v>
  </rv>
  <rv s="8">
    <v>pt-BR</v>
    <v>apn4rw</v>
    <v>268435456</v>
    <v>1</v>
    <v>Da plataforma Refinitiv</v>
    <v>14</v>
    <v>15</v>
    <v>Banco Pine S.A. (BVMF:PINE4)</v>
    <v>12</v>
    <v>16</v>
    <v>Finance</v>
    <v>5</v>
    <v>6.17</v>
    <v>3.57</v>
    <v>BVMF</v>
    <v>226739600</v>
    <v>6.06</v>
    <v>1997</v>
    <v>5.87</v>
    <v>1.2323999999999999</v>
    <v>B3 - Brazil Stock Exchange</v>
    <v>1314540000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6.05</v>
    <v>393</v>
    <v>45870.958333333336</v>
    <v>121</v>
    <v>281670</v>
    <v>BRL</v>
    <v>Banco Pine S.A.</v>
    <v>Banco Pine S.A.</v>
    <v>6.04</v>
    <v>5.87</v>
    <v>Av. Presidente Juscelino Kubitschek, 1830- Salas 44, 54 e 64 4, 5 e 6 andares, Vila Nova Conceicao, SAO PAULO, SAO PAULO, 04.543-000 BR</v>
    <v>Banking Services</v>
    <v>PINE4</v>
    <v>Ações</v>
    <v>Banco Pine S.A. (BVMF:PINE4)</v>
    <v>-0.18</v>
    <v>-2.9752000000000001E-2</v>
    <v>171400</v>
  </rv>
  <rv s="2">
    <v>122</v>
  </rv>
  <rv s="0">
    <v>https://www.bing.com/financeapi/forcetrigger?t=apms4c&amp;q=BVMF%3aITSA3&amp;form=skydnc</v>
    <v>Learn more on Bing</v>
  </rv>
  <rv s="8">
    <v>pt-BR</v>
    <v>apms4c</v>
    <v>268435456</v>
    <v>1</v>
    <v>Da plataforma Refinitiv</v>
    <v>14</v>
    <v>15</v>
    <v>ITAÚSA S.A. (BVMF:ITSA3)</v>
    <v>12</v>
    <v>16</v>
    <v>Finance</v>
    <v>5</v>
    <v>11.34</v>
    <v>8.06</v>
    <v>BVMF</v>
    <v>10993810000</v>
    <v>10.5</v>
    <v>1966</v>
    <v>10.25</v>
    <v>1.1713</v>
    <v>B3 - Brazil Stock Exchange</v>
    <v>113261000000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10.34</v>
    <v>127000</v>
    <v>45870.958333333336</v>
    <v>124</v>
    <v>15402440</v>
    <v>BRL</v>
    <v>ITAÚSA S.A.</v>
    <v>ITAÚSA S.A.</v>
    <v>10.4</v>
    <v>10.34</v>
    <v>Avenida Paulista, 1938, 5 andar, Bela Vista, SAO PAULO, SAO PAULO, 01.310-200 BR</v>
    <v>Banking Services</v>
    <v>ITSA3</v>
    <v>Ações</v>
    <v>ITAÚSA S.A. (BVMF:ITSA3)</v>
    <v>0</v>
    <v>0</v>
    <v>89500</v>
  </rv>
  <rv s="2">
    <v>125</v>
  </rv>
  <rv s="0">
    <v>https://www.bing.com/financeapi/forcetrigger?t=apmx3m&amp;q=BVMF%3aMEAL3&amp;form=skydnc</v>
    <v>Learn more on Bing</v>
  </rv>
  <rv s="13">
    <v>pt-BR</v>
    <v>apmx3m</v>
    <v>268435456</v>
    <v>1</v>
    <v>Da plataforma Refinitiv</v>
    <v>26</v>
    <v>27</v>
    <v>International Meal Company Alimentação S.A. (BVMF:MEAL3)</v>
    <v>12</v>
    <v>28</v>
    <v>Finance</v>
    <v>5</v>
    <v>1.75</v>
    <v>0.91</v>
    <v>BVMF</v>
    <v>286676500</v>
    <v>1.37</v>
    <v>1.32</v>
    <v>2.0648</v>
    <v>B3 - Brazil Stock Exchange</v>
    <v>384146510</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1.34</v>
    <v>8427</v>
    <v>45870.958333333336</v>
    <v>127</v>
    <v>271880</v>
    <v>BRL</v>
    <v>International Meal Company Alimentação S.A.</v>
    <v>International Meal Company Alimentação S.A.</v>
    <v>1.32</v>
    <v>1.34</v>
    <v>Avenida Doutora Ruth Cardoso, 4777, 12 andar,conjunto A, Jd Univ. Pinheiros, SAO PAULO, SAO PAULO, 05.477-902 BR</v>
    <v>Hotels &amp; Entertainment Services</v>
    <v>MEAL3</v>
    <v>Ações</v>
    <v>International Meal Company Alimentação S.A. (BVMF:MEAL3)</v>
    <v>0</v>
    <v>0</v>
    <v>389100</v>
  </rv>
  <rv s="2">
    <v>128</v>
  </rv>
  <rv s="0">
    <v>https://www.bing.com/financeapi/forcetrigger?t=aplz4c&amp;q=BVMF%3aBBSE3&amp;form=skydnc</v>
    <v>Learn more on Bing</v>
  </rv>
  <rv s="8">
    <v>pt-BR</v>
    <v>aplz4c</v>
    <v>268435456</v>
    <v>1</v>
    <v>Da plataforma Refinitiv</v>
    <v>14</v>
    <v>15</v>
    <v>BB Seguridade Participações S.A. (BVMF:BBSE3)</v>
    <v>12</v>
    <v>16</v>
    <v>Finance</v>
    <v>5</v>
    <v>42.77</v>
    <v>30.38</v>
    <v>BVMF</v>
    <v>2000000000</v>
    <v>34.08</v>
    <v>2012</v>
    <v>33.39</v>
    <v>0.55600000000000005</v>
    <v>B3 - Brazil Stock Exchange</v>
    <v>66880000000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33.700000000000003</v>
    <v>268</v>
    <v>45870.958333333336</v>
    <v>130</v>
    <v>7231300</v>
    <v>BRL</v>
    <v>BB Seguridade Participações S.A.</v>
    <v>BB Seguridade Participações S.A.</v>
    <v>33.94</v>
    <v>33.44</v>
    <v>SAUN, Quadra 05, Bloco B, 3 andar Edificio Banco do Br, Asa Norte, BRASILIA, DISTRITO FEDERAL, 70.040-912 BR</v>
    <v>Insurance</v>
    <v>BBSE3</v>
    <v>Ações</v>
    <v>BB Seguridade Participações S.A. (BVMF:BBSE3)</v>
    <v>-0.26</v>
    <v>-7.7149999999999996E-3</v>
    <v>6197300</v>
  </rv>
  <rv s="2">
    <v>131</v>
  </rv>
  <rv s="0">
    <v>https://www.bing.com/financeapi/forcetrigger?t=apmnxm&amp;q=BVMF%3aGOAU3&amp;form=skydnc</v>
    <v>Learn more on Bing</v>
  </rv>
  <rv s="8">
    <v>pt-BR</v>
    <v>apmnxm</v>
    <v>268435456</v>
    <v>1</v>
    <v>Da plataforma Refinitiv</v>
    <v>14</v>
    <v>15</v>
    <v>METALURGICA GERDAU S.A. (BVMF:GOAU3)</v>
    <v>12</v>
    <v>16</v>
    <v>Finance</v>
    <v>5</v>
    <v>11.82</v>
    <v>7.97</v>
    <v>BVMF</v>
    <v>993705800</v>
    <v>9.41</v>
    <v>1901</v>
    <v>9.0299999999999994</v>
    <v>0.69350000000000001</v>
    <v>B3 - Brazil Stock Exchange</v>
    <v>8969927000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9.3800000000000008</v>
    <v>30000</v>
    <v>45870.958333333336</v>
    <v>133</v>
    <v>7844830</v>
    <v>BRL</v>
    <v>METALURGICA GERDAU S.A.</v>
    <v>METALURGICA GERDAU S.A.</v>
    <v>9.3800000000000008</v>
    <v>9.09</v>
    <v>Avenida Doutora Ruth Cardoso, 8.501,8 andar, Pinheiros, SAO PAULO, SAO PAULO, 05.425-070 BR</v>
    <v>Metals &amp; Mining</v>
    <v>GOAU3</v>
    <v>Ações</v>
    <v>METALURGICA GERDAU S.A. (BVMF:GOAU3)</v>
    <v>-0.28999999999999998</v>
    <v>-3.0917E-2</v>
    <v>32500</v>
  </rv>
  <rv s="2">
    <v>134</v>
  </rv>
  <rv s="0">
    <v>https://www.bing.com/financeapi/forcetrigger?t=apmscw&amp;q=BVMF%3aITUB4&amp;form=skydnc</v>
    <v>Learn more on Bing</v>
  </rv>
  <rv s="8">
    <v>pt-BR</v>
    <v>apmscw</v>
    <v>268435456</v>
    <v>1</v>
    <v>Da plataforma Refinitiv</v>
    <v>14</v>
    <v>15</v>
    <v>Itaú Unibanco Holding S.A. (BVMF:ITUB4)</v>
    <v>12</v>
    <v>16</v>
    <v>Finance</v>
    <v>5</v>
    <v>38.21</v>
    <v>25.55</v>
    <v>BVMF</v>
    <v>10784550000</v>
    <v>35.76</v>
    <v>1943</v>
    <v>34.74</v>
    <v>1.2478</v>
    <v>B3 - Brazil Stock Exchange</v>
    <v>356305900000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35.14</v>
    <v>100600</v>
    <v>45870.958333333336</v>
    <v>136</v>
    <v>16620300</v>
    <v>BRL</v>
    <v>Itaú Unibanco Holding S.A.</v>
    <v>Itaú Unibanco Holding S.A.</v>
    <v>35.6</v>
    <v>34.93</v>
    <v>Praca Alfredo Egydio de Souza Aranha, 100, T. Olavo Setubal, Piso Itau Unibanco, Parque Jabaquara, SAO PAULO, SAO PAULO, 04.344-902 BR</v>
    <v>Banking Services</v>
    <v>ITUB4</v>
    <v>Ações</v>
    <v>Itaú Unibanco Holding S.A. (BVMF:ITUB4)</v>
    <v>-0.21</v>
    <v>-5.9760000000000004E-3</v>
    <v>15993400</v>
  </rv>
  <rv s="2">
    <v>137</v>
  </rv>
  <rv s="0">
    <v>https://www.bing.com/financeapi/forcetrigger?t=apluur&amp;q=BVMF%3aAGRO3&amp;form=skydnc</v>
    <v>Learn more on Bing</v>
  </rv>
  <rv s="9">
    <v>pt-BR</v>
    <v>apluur</v>
    <v>268435456</v>
    <v>1</v>
    <v>Da plataforma Refinitiv</v>
    <v>17</v>
    <v>18</v>
    <v>Brasilagro - Companhia Brasileira de Propriedades Agrícolas (BVMF:AGRO3)</v>
    <v>12</v>
    <v>19</v>
    <v>Finance</v>
    <v>5</v>
    <v>25.42</v>
    <v>19.61</v>
    <v>BVMF</v>
    <v>102683400</v>
    <v>20.68</v>
    <v>2005</v>
    <v>20.28</v>
    <v>0.67979999999999996</v>
    <v>B3 - Brazil Stock Exchange</v>
    <v>2102957000</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20.57</v>
    <v>45870.958333333336</v>
    <v>139</v>
    <v>128690</v>
    <v>BRL</v>
    <v>Brasilagro - Companhia Brasileira de Propriedades Agrícolas</v>
    <v>Brasilagro - Companhia Brasileira de Propriedades Agrícolas</v>
    <v>20.55</v>
    <v>20.48</v>
    <v>Avenida Reboucas, n. 2.984, Conj, 61 e 62 6 andar, Pinheiros, SAO PAULO, SAO PAULO, 05.402-500 BR</v>
    <v>Food &amp; Tobacco</v>
    <v>AGRO3</v>
    <v>Ações</v>
    <v>Brasilagro - Companhia Brasileira de Propriedades Agrícolas (BVMF:AGRO3)</v>
    <v>-0.09</v>
    <v>-4.3750000000000004E-3</v>
    <v>127200</v>
  </rv>
  <rv s="2">
    <v>140</v>
  </rv>
  <rv s="0">
    <v>https://www.bing.com/financeapi/forcetrigger?t=bskymw&amp;q=BVMF%3aBMGB4&amp;form=skydnc</v>
    <v>Learn more on Bing</v>
  </rv>
  <rv s="14">
    <v>pt-BR</v>
    <v>bskymw</v>
    <v>268435456</v>
    <v>1</v>
    <v>Da plataforma Refinitiv</v>
    <v>29</v>
    <v>30</v>
    <v>BANCO BMG S.A. (BVMF:BMGB4)</v>
    <v>12</v>
    <v>31</v>
    <v>Finance</v>
    <v>5</v>
    <v>4.18</v>
    <v>2.97</v>
    <v>BVMF</v>
    <v>216251500</v>
    <v>3.48</v>
    <v>3.43</v>
    <v>1.266</v>
    <v>B3 - Brazil Stock Exchange</v>
    <v>741742700</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3.45</v>
    <v>45870.958333333336</v>
    <v>142</v>
    <v>781700</v>
    <v>BRL</v>
    <v>BANCO BMG S.A.</v>
    <v>BANCO BMG S.A.</v>
    <v>3.45</v>
    <v>3.43</v>
    <v>Avenida Presidente Juscelino Kubitschek, N 1830, 10, 11, 13 E 14 Andares - Parte Cond Ed S Luiz, Vila Nova Conceicao, SAO PAULO, SAO PAULO, 04.543-000 BR</v>
    <v>Banking Services</v>
    <v>BMGB4</v>
    <v>Ações</v>
    <v>BANCO BMG S.A. (BVMF:BMGB4)</v>
    <v>-0.02</v>
    <v>-5.7970000000000001E-3</v>
    <v>392100</v>
  </rv>
  <rv s="2">
    <v>143</v>
  </rv>
  <rv s="0">
    <v>https://www.bing.com/financeapi/forcetrigger?t=c2yyw7&amp;q=BVMF%3aLAND3&amp;form=skydnc</v>
    <v>Learn more on Bing</v>
  </rv>
  <rv s="9">
    <v>pt-BR</v>
    <v>c2yyw7</v>
    <v>268435456</v>
    <v>1</v>
    <v>Da plataforma Refinitiv</v>
    <v>17</v>
    <v>18</v>
    <v>Terra Santa Propriedades Agrícolas S.A. (BVMF:LAND3)</v>
    <v>12</v>
    <v>19</v>
    <v>Finance</v>
    <v>5</v>
    <v>15.91</v>
    <v>9.57</v>
    <v>BVMF</v>
    <v>96226960</v>
    <v>11</v>
    <v>2021</v>
    <v>10.81</v>
    <v>-0.40050000000000002</v>
    <v>B3 - Brazil Stock Exchange</v>
    <v>1057534000</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10.74</v>
    <v>45870.958333333336</v>
    <v>145</v>
    <v>16580</v>
    <v>BRL</v>
    <v>Terra Santa Propriedades Agrícolas S.A.</v>
    <v>Terra Santa Propriedades Agrícolas S.A.</v>
    <v>11</v>
    <v>10.99</v>
    <v>Praca General Gentil Falcao, 108, 8o andar Cj. 81, Sala 4, Cidade Moncoes, SAO PAULO, SAO PAULO, 04.571-150 BR</v>
    <v>Real Estate Operations</v>
    <v>LAND3</v>
    <v>Ações</v>
    <v>Terra Santa Propriedades Agrícolas S.A. (BVMF:LAND3)</v>
    <v>0.25</v>
    <v>2.3277000000000003E-2</v>
    <v>15700</v>
  </rv>
  <rv s="2">
    <v>146</v>
  </rv>
  <rv s="0">
    <v>https://www.bing.com/financeapi/forcetrigger?t=apmnm7&amp;q=BVMF%3aGGBR4&amp;form=skydnc</v>
    <v>Learn more on Bing</v>
  </rv>
  <rv s="8">
    <v>pt-BR</v>
    <v>apmnm7</v>
    <v>268435456</v>
    <v>1</v>
    <v>Da plataforma Refinitiv</v>
    <v>14</v>
    <v>15</v>
    <v>GERDAU S.A. (BVMF:GGBR4)</v>
    <v>12</v>
    <v>16</v>
    <v>Finance</v>
    <v>5</v>
    <v>21</v>
    <v>13.63</v>
    <v>BVMF</v>
    <v>2013814000</v>
    <v>16.989999999999998</v>
    <v>1961</v>
    <v>16.02</v>
    <v>0.65059999999999996</v>
    <v>B3 - Brazil Stock Exchange</v>
    <v>31115360000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16.84</v>
    <v>25557</v>
    <v>45870.958333333336</v>
    <v>148</v>
    <v>10720030</v>
    <v>BRL</v>
    <v>GERDAU S.A.</v>
    <v>GERDAU S.A.</v>
    <v>16.71</v>
    <v>16.05</v>
    <v>Avenida Doutora Ruth Cardoso, 8.501, 8 andar, Pinheiros, SAO PAULO, SAO PAULO, 05.425-070 BR</v>
    <v>Metals &amp; Mining</v>
    <v>GGBR4</v>
    <v>Ações</v>
    <v>GERDAU S.A. (BVMF:GGBR4)</v>
    <v>-0.79</v>
    <v>-4.6912000000000002E-2</v>
    <v>19620300</v>
  </rv>
  <rv s="2">
    <v>149</v>
  </rv>
  <rv s="0">
    <v>https://www.bing.com/financeapi/forcetrigger?t=apms77&amp;q=BVMF%3aITSA4&amp;form=skydnc</v>
    <v>Learn more on Bing</v>
  </rv>
  <rv s="8">
    <v>pt-BR</v>
    <v>apms77</v>
    <v>268435456</v>
    <v>1</v>
    <v>Da plataforma Refinitiv</v>
    <v>14</v>
    <v>15</v>
    <v>ITAÚSA S.A. (BVMF:ITSA4)</v>
    <v>12</v>
    <v>16</v>
    <v>Finance</v>
    <v>5</v>
    <v>11.34</v>
    <v>7.86</v>
    <v>BVMF</v>
    <v>10993810000</v>
    <v>10.5</v>
    <v>1966</v>
    <v>10.24</v>
    <v>1.1713</v>
    <v>B3 - Brazil Stock Exchange</v>
    <v>113261000000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10.35</v>
    <v>127000</v>
    <v>45870.958333333336</v>
    <v>151</v>
    <v>15402440</v>
    <v>BRL</v>
    <v>ITAÚSA S.A.</v>
    <v>ITAÚSA S.A.</v>
    <v>10.45</v>
    <v>10.34</v>
    <v>Avenida Paulista, 1938, 5 andar, Bela Vista, SAO PAULO, SAO PAULO, 01.310-200 BR</v>
    <v>Banking Services</v>
    <v>ITSA4</v>
    <v>Ações</v>
    <v>ITAÚSA S.A. (BVMF:ITSA4)</v>
    <v>-0.01</v>
    <v>-9.6619999999999996E-4</v>
    <v>16515300</v>
  </rv>
  <rv s="2">
    <v>152</v>
  </rv>
  <rv s="0">
    <v>https://www.bing.com/financeapi/forcetrigger?t=az65xm&amp;q=BVMF%3aSMFT3&amp;form=skydnc</v>
    <v>Learn more on Bing</v>
  </rv>
  <rv s="8">
    <v>pt-BR</v>
    <v>az65xm</v>
    <v>268435456</v>
    <v>1</v>
    <v>Da plataforma Refinitiv</v>
    <v>14</v>
    <v>15</v>
    <v>Smartfit Escola de Ginástica e Dança S.A. (BVMF:SMFT3)</v>
    <v>12</v>
    <v>16</v>
    <v>Finance</v>
    <v>5</v>
    <v>25.32</v>
    <v>16.329999999999998</v>
    <v>BVMF</v>
    <v>597250100</v>
    <v>21.38</v>
    <v>2005</v>
    <v>20.81</v>
    <v>2.1242000000000001</v>
    <v>B3 - Brazil Stock Exchange</v>
    <v>12512390000</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20.72</v>
    <v>3838</v>
    <v>45870.958333333336</v>
    <v>154</v>
    <v>3960730</v>
    <v>BRL</v>
    <v>Smartfit Escola de Ginástica e Dança S.A.</v>
    <v>Smartfit Escola de Ginástica e Dança S.A.</v>
    <v>21.23</v>
    <v>20.95</v>
    <v>Avenida Paulista, n.1294, 2 andar, Bela Vista,, SAO PAULO, SAO PAULO, 01.310-100 BR</v>
    <v>Hotels &amp; Entertainment Services</v>
    <v>SMFT3</v>
    <v>Ações</v>
    <v>Smartfit Escola de Ginástica e Dança S.A. (BVMF:SMFT3)</v>
    <v>0.23</v>
    <v>1.11E-2</v>
    <v>4693300</v>
  </rv>
  <rv s="2">
    <v>155</v>
  </rv>
  <rv s="0">
    <v>https://www.bing.com/financeapi/forcetrigger?t=apmlc7&amp;q=BVMF%3aFLRY3&amp;form=skydnc</v>
    <v>Learn more on Bing</v>
  </rv>
  <rv s="8">
    <v>pt-BR</v>
    <v>apmlc7</v>
    <v>268435456</v>
    <v>1</v>
    <v>Da plataforma Refinitiv</v>
    <v>14</v>
    <v>15</v>
    <v>Fleury S.A. (BVMF:FLRY3)</v>
    <v>12</v>
    <v>16</v>
    <v>Finance</v>
    <v>5</v>
    <v>15.93</v>
    <v>10.62</v>
    <v>BVMF</v>
    <v>547191000</v>
    <v>14.59</v>
    <v>1964</v>
    <v>14.24</v>
    <v>0.60580000000000001</v>
    <v>B3 - Brazil Stock Exchange</v>
    <v>7792000000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14.35</v>
    <v>27500</v>
    <v>45870.958333333336</v>
    <v>157</v>
    <v>5811060</v>
    <v>BRL</v>
    <v>Fleury S.A.</v>
    <v>Fleury S.A.</v>
    <v>14.44</v>
    <v>14.24</v>
    <v>Av. General Valdomiro de Lima, 508, Jabaquara, SAO PAULO, SAO PAULO, 04.344-070 BR</v>
    <v>Healthcare Providers &amp; Services</v>
    <v>FLRY3</v>
    <v>Ações</v>
    <v>Fleury S.A. (BVMF:FLRY3)</v>
    <v>-0.11</v>
    <v>-7.6659999999999992E-3</v>
    <v>6551600</v>
  </rv>
  <rv s="2">
    <v>158</v>
  </rv>
  <rv s="0">
    <v>https://www.bing.com/financeapi/forcetrigger?t=apna3m&amp;q=BVMF%3aROMI3&amp;form=skydnc</v>
    <v>Learn more on Bing</v>
  </rv>
  <rv s="8">
    <v>pt-BR</v>
    <v>apna3m</v>
    <v>268435456</v>
    <v>1</v>
    <v>Da plataforma Refinitiv</v>
    <v>14</v>
    <v>15</v>
    <v>ROMI S.A. (BVMF:ROMI3)</v>
    <v>12</v>
    <v>16</v>
    <v>Finance</v>
    <v>5</v>
    <v>10.82</v>
    <v>7.67</v>
    <v>BVMF</v>
    <v>93170750</v>
    <v>8.07</v>
    <v>1938</v>
    <v>7.88</v>
    <v>0.62329999999999997</v>
    <v>B3 - Brazil Stock Exchange</v>
    <v>734185500</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7.98</v>
    <v>2806</v>
    <v>45870.958333333336</v>
    <v>160</v>
    <v>121560</v>
    <v>BRL</v>
    <v>ROMI S.A.</v>
    <v>ROMI S.A.</v>
    <v>8</v>
    <v>7.88</v>
    <v>Rodovia Luis de Queiroz (SP 304), s/n, KM 141,5, Dist. Industrial Sul, SANTA BARBARA D'OESTE, SAO PAULO, 13.459-057 BR</v>
    <v>Machinery, Equipment &amp; Components</v>
    <v>ROMI3</v>
    <v>Ações</v>
    <v>ROMI S.A. (BVMF:ROMI3)</v>
    <v>-0.1</v>
    <v>-1.2531E-2</v>
    <v>244200</v>
  </rv>
  <rv s="2">
    <v>161</v>
  </rv>
  <rv s="0">
    <v>https://www.bing.com/financeapi/forcetrigger?t=apnew7&amp;q=BVMF%3aTAEE4&amp;form=skydnc</v>
    <v>Learn more on Bing</v>
  </rv>
  <rv s="8">
    <v>pt-BR</v>
    <v>apnew7</v>
    <v>268435456</v>
    <v>1</v>
    <v>Da plataforma Refinitiv</v>
    <v>14</v>
    <v>15</v>
    <v>Transmissora Aliança de Energia Elétrica S/A (BVMF:TAEE4)</v>
    <v>12</v>
    <v>16</v>
    <v>Finance</v>
    <v>5</v>
    <v>12.24</v>
    <v>10.24</v>
    <v>BVMF</v>
    <v>344498900</v>
    <v>11.32</v>
    <v>2006</v>
    <v>11.14</v>
    <v>0.71450000000000002</v>
    <v>B3 - Brazil Stock Exchange</v>
    <v>11520040000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11.19</v>
    <v>854</v>
    <v>45870.958333333336</v>
    <v>163</v>
    <v>1124670</v>
    <v>BRL</v>
    <v>Transmissora Aliança de Energia Elétrica S/A</v>
    <v>Transmissora Aliança de Energia Elétrica S/A</v>
    <v>11.25</v>
    <v>11.14</v>
    <v>Av. das Americas, 2480 Bloco 6, Barra da Tijuca, RIO DE JANEIRO, RIO DE JANEIRO, 22.640-101 BR</v>
    <v>Electrical Utilities &amp; IPPs</v>
    <v>TAEE4</v>
    <v>Ações</v>
    <v>Transmissora Aliança de Energia Elétrica S/A (BVMF:TAEE4)</v>
    <v>-0.05</v>
    <v>-4.4679999999999997E-3</v>
    <v>97100</v>
  </rv>
  <rv s="2">
    <v>164</v>
  </rv>
  <rv s="0">
    <v>https://www.bing.com/financeapi/forcetrigger?t=apn827&amp;q=BVMF%3aRAIL3&amp;form=skydnc</v>
    <v>Learn more on Bing</v>
  </rv>
  <rv s="8">
    <v>pt-BR</v>
    <v>apn827</v>
    <v>268435456</v>
    <v>1</v>
    <v>Da plataforma Refinitiv</v>
    <v>14</v>
    <v>15</v>
    <v>RUMO S.A. (BVMF:RAIL3)</v>
    <v>12</v>
    <v>16</v>
    <v>Finance</v>
    <v>5</v>
    <v>23.38</v>
    <v>15.29</v>
    <v>BVMF</v>
    <v>1854869000</v>
    <v>16.920000000000002</v>
    <v>1997</v>
    <v>16.22</v>
    <v>0.80779999999999996</v>
    <v>B3 - Brazil Stock Exchange</v>
    <v>30290010000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16.54</v>
    <v>8602</v>
    <v>45870.958333333336</v>
    <v>166</v>
    <v>9284940</v>
    <v>BRL</v>
    <v>RUMO S.A.</v>
    <v>RUMO S.A.</v>
    <v>16.77</v>
    <v>16.329999999999998</v>
    <v>Rua Emilio Bertolini, 100 - Cajuru, CURITIBA, PARANA, 82.920-030 BR</v>
    <v>Freight &amp; Logistics Services</v>
    <v>RAIL3</v>
    <v>Ações</v>
    <v>RUMO S.A. (BVMF:RAIL3)</v>
    <v>-0.21</v>
    <v>-1.2696000000000001E-2</v>
    <v>7926000</v>
  </rv>
  <rv s="2">
    <v>167</v>
  </rv>
  <rv s="0">
    <v>https://www.bing.com/financeapi/forcetrigger?t=apmeec&amp;q=BVMF%3aCYRE3&amp;form=skydnc</v>
    <v>Learn more on Bing</v>
  </rv>
  <rv s="9">
    <v>pt-BR</v>
    <v>apmeec</v>
    <v>268435456</v>
    <v>1</v>
    <v>Da plataforma Refinitiv</v>
    <v>17</v>
    <v>18</v>
    <v>Cyrela Brazil Realty S.A. Empreendimentos e Participações (BVMF:CYRE3)</v>
    <v>12</v>
    <v>19</v>
    <v>Finance</v>
    <v>5</v>
    <v>27.02</v>
    <v>15.44</v>
    <v>BVMF</v>
    <v>384000000</v>
    <v>25.21</v>
    <v>1993</v>
    <v>24.42</v>
    <v>1.6395</v>
    <v>B3 - Brazil Stock Exchange</v>
    <v>9411840000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24.52</v>
    <v>45870.958333333336</v>
    <v>169</v>
    <v>5106260</v>
    <v>BRL</v>
    <v>Cyrela Brazil Realty S.A. Empreendimentos e Participações</v>
    <v>Cyrela Brazil Realty S.A. Empreendimentos e Participações</v>
    <v>24.64</v>
    <v>24.51</v>
    <v>Rua do Rocio,109, 2 andar Sala01 Parte, Vila Olimpia, SAO PAULO, SAO PAULO, 04.552-000 BR</v>
    <v>Real Estate Operations</v>
    <v>CYRE3</v>
    <v>Ações</v>
    <v>Cyrela Brazil Realty S.A. Empreendimentos e Participações (BVMF:CYRE3)</v>
    <v>-0.01</v>
    <v>-4.0779999999999999E-4</v>
    <v>5964600</v>
  </rv>
  <rv s="2">
    <v>170</v>
  </rv>
  <rv s="0">
    <v>https://www.bing.com/financeapi/forcetrigger?t=c1s56h&amp;q=BVMF%3aCXSE3&amp;form=skydnc</v>
    <v>Learn more on Bing</v>
  </rv>
  <rv s="8">
    <v>pt-BR</v>
    <v>c1s56h</v>
    <v>268435456</v>
    <v>1</v>
    <v>Da plataforma Refinitiv</v>
    <v>14</v>
    <v>15</v>
    <v>Caixa Seguridade Participações S.A (BVMF:CXSE3)</v>
    <v>12</v>
    <v>16</v>
    <v>Finance</v>
    <v>5</v>
    <v>16.5</v>
    <v>12.67</v>
    <v>BVMF</v>
    <v>3000000000</v>
    <v>14.01</v>
    <v>2015</v>
    <v>13.69</v>
    <v>0.95989999999999998</v>
    <v>B3 - Brazil Stock Exchange</v>
    <v>41070000000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13.78</v>
    <v>135</v>
    <v>45870.958333333336</v>
    <v>172</v>
    <v>3983040</v>
    <v>BRL</v>
    <v>Caixa Seguridade Participações S.A</v>
    <v>Caixa Seguridade Participações S.A</v>
    <v>13.87</v>
    <v>13.69</v>
    <v>SAUS Quadra 3 Bloco E, 3 andar, Asa Sul, BRASILIA, DISTRITO FEDERAL, 70.070-030 BR</v>
    <v>Insurance</v>
    <v>CXSE3</v>
    <v>Ações</v>
    <v>Caixa Seguridade Participações S.A (BVMF:CXSE3)</v>
    <v>-0.09</v>
    <v>-6.5310000000000003E-3</v>
    <v>5151800</v>
  </rv>
  <rv s="2">
    <v>173</v>
  </rv>
  <rv s="0">
    <v>https://www.bing.com/financeapi/forcetrigger?t=c1rkkr&amp;q=BVMF%3aALLD3&amp;form=skydnc</v>
    <v>Learn more on Bing</v>
  </rv>
  <rv s="9">
    <v>pt-BR</v>
    <v>c1rkkr</v>
    <v>268435456</v>
    <v>1</v>
    <v>Da plataforma Refinitiv</v>
    <v>17</v>
    <v>18</v>
    <v>Allied Tecnologia S.A. (BVMF:ALLD3)</v>
    <v>12</v>
    <v>19</v>
    <v>Finance</v>
    <v>5</v>
    <v>8.1999999999999993</v>
    <v>6.17</v>
    <v>BVMF</v>
    <v>94507240</v>
    <v>8.1999999999999993</v>
    <v>2014</v>
    <v>7.16</v>
    <v>1.1987000000000001</v>
    <v>B3 - Brazil Stock Exchange</v>
    <v>752277600</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6.91</v>
    <v>45870.958333333336</v>
    <v>175</v>
    <v>77470</v>
    <v>BRL</v>
    <v>Allied Tecnologia S.A.</v>
    <v>Allied Tecnologia S.A.</v>
    <v>7.22</v>
    <v>7.96</v>
    <v>Rodovia Vice-Prefeito Hermenegildo Tonolli, 1.500 Lote GLA2/Galpao 04B, Distrito Industrial, JUNDIAI, SAO PAULO, 13.213-086 BR</v>
    <v>Computers, Phones &amp; Household Electronics</v>
    <v>ALLD3</v>
    <v>Ações</v>
    <v>Allied Tecnologia S.A. (BVMF:ALLD3)</v>
    <v>1.05</v>
    <v>0.15195400000000001</v>
    <v>427600</v>
  </rv>
  <rv s="2">
    <v>176</v>
  </rv>
  <rv s="0">
    <v>https://www.bing.com/financeapi/forcetrigger?t=apmofr&amp;q=BVMF%3aDEXP3&amp;form=skydnc</v>
    <v>Learn more on Bing</v>
  </rv>
  <rv s="9">
    <v>pt-BR</v>
    <v>apmofr</v>
    <v>268435456</v>
    <v>1</v>
    <v>Da plataforma Refinitiv</v>
    <v>17</v>
    <v>18</v>
    <v>DEXXOS PARTICIPAÇÕES S.A. (BVMF:DEXP3)</v>
    <v>12</v>
    <v>19</v>
    <v>Finance</v>
    <v>5</v>
    <v>10.17</v>
    <v>6.93</v>
    <v>BVMF</v>
    <v>103538800</v>
    <v>8.59</v>
    <v>1997</v>
    <v>8.27</v>
    <v>0.99370000000000003</v>
    <v>B3 - Brazil Stock Exchange</v>
    <v>856266200</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8.4600000000000009</v>
    <v>45870.958333333336</v>
    <v>178</v>
    <v>73990</v>
    <v>BRL</v>
    <v>DEXXOS PARTICIPAÇÕES S.A.</v>
    <v>DEXXOS PARTICIPAÇÕES S.A.</v>
    <v>8.52</v>
    <v>8.27</v>
    <v>Rua Do Passeio 70 5 Andar, Centro, RIO DE JANEIRO, RIO DE JANEIRO, 20.021-290 BR</v>
    <v>Chemicals</v>
    <v>DEXP3</v>
    <v>Ações</v>
    <v>DEXXOS PARTICIPAÇÕES S.A. (BVMF:DEXP3)</v>
    <v>-0.19</v>
    <v>-2.2458999999999996E-2</v>
    <v>55100</v>
  </rv>
  <rv s="2">
    <v>179</v>
  </rv>
  <rv s="0">
    <v>https://www.bing.com/financeapi/forcetrigger?t=apnkjc&amp;q=BVMF%3aVLID3&amp;form=skydnc</v>
    <v>Learn more on Bing</v>
  </rv>
  <rv s="8">
    <v>pt-BR</v>
    <v>apnkjc</v>
    <v>268435456</v>
    <v>1</v>
    <v>Da plataforma Refinitiv</v>
    <v>14</v>
    <v>15</v>
    <v>VALID SOLUÇÕES S.A. (BVMF:VLID3)</v>
    <v>12</v>
    <v>16</v>
    <v>Finance</v>
    <v>5</v>
    <v>28.1</v>
    <v>14.5</v>
    <v>BVMF</v>
    <v>81836380</v>
    <v>22.4</v>
    <v>1957</v>
    <v>21.86</v>
    <v>1.3633999999999999</v>
    <v>B3 - Brazil Stock Exchange</v>
    <v>1802037087</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22.02</v>
    <v>5000</v>
    <v>45870.958333333336</v>
    <v>181</v>
    <v>218860</v>
    <v>BRL</v>
    <v>VALID SOLUÇÕES S.A.</v>
    <v>VALID SOLUÇÕES S.A.</v>
    <v>22.3</v>
    <v>22.02</v>
    <v>R Laura Maiello Kook 511, Ipanema Das Pedras, SOROCABA, SAO PAULO, 18.052-445 BR</v>
    <v>Professional &amp; Commercial Services</v>
    <v>VLID3</v>
    <v>Ações</v>
    <v>VALID SOLUÇÕES S.A. (BVMF:VLID3)</v>
    <v>0</v>
    <v>0</v>
    <v>245400</v>
  </rv>
  <rv s="2">
    <v>182</v>
  </rv>
  <rv s="0">
    <v>https://www.bing.com/financeapi/forcetrigger?t=apmphw&amp;q=BVMF%3aHAGA3&amp;form=skydnc</v>
    <v>Learn more on Bing</v>
  </rv>
  <rv s="9">
    <v>pt-BR</v>
    <v>apmphw</v>
    <v>268435456</v>
    <v>1</v>
    <v>Da plataforma Refinitiv</v>
    <v>17</v>
    <v>18</v>
    <v>HAGA S.A. INDUSTRIA E COMERCIO (BVMF:HAGA3)</v>
    <v>12</v>
    <v>19</v>
    <v>Finance</v>
    <v>5</v>
    <v>2.8</v>
    <v>1.75</v>
    <v>BVMF</v>
    <v>11900000</v>
    <v>2.04</v>
    <v>1937</v>
    <v>2.04</v>
    <v>1.0255000000000001</v>
    <v>B3 - Brazil Stock Exchange</v>
    <v>17294670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1.9</v>
    <v>45870.958333333336</v>
    <v>184</v>
    <v>15930</v>
    <v>BRL</v>
    <v>HAGA S.A. INDUSTRIA E COMERCIO</v>
    <v>HAGA S.A. INDUSTRIA E COMERCIO</v>
    <v>2.04</v>
    <v>2.04</v>
    <v>Avenida Engenheiro Hans Gaiser, 26,Predio, Centro, NOVA FRIBURGO, RIO DE JANEIRO, 28.605-220 BR</v>
    <v>Specialty Retailers</v>
    <v>HAGA3</v>
    <v>Ações</v>
    <v>HAGA S.A. INDUSTRIA E COMERCIO (BVMF:HAGA3)</v>
    <v>0.14000000000000001</v>
    <v>7.3683999999999999E-2</v>
    <v>100</v>
  </rv>
  <rv s="2">
    <v>185</v>
  </rv>
  <rv s="0">
    <v>https://www.bing.com/financeapi/forcetrigger?t=bwn8hw&amp;q=BVMF%3aRRRP3&amp;form=skydnc</v>
    <v>Learn more on Bing</v>
  </rv>
  <rv s="8">
    <v>pt-BR</v>
    <v>bwn8hw</v>
    <v>268435456</v>
    <v>1</v>
    <v>Da plataforma Refinitiv</v>
    <v>14</v>
    <v>15</v>
    <v>Brava Energia S.A. (BVMF:BRAV3)</v>
    <v>12</v>
    <v>16</v>
    <v>Finance</v>
    <v>5</v>
    <v>30.28</v>
    <v>15.26</v>
    <v>BVMF</v>
    <v>464187500</v>
    <v>20.32</v>
    <v>2010</v>
    <v>19.21</v>
    <v>1.2159</v>
    <v>B3 - Brazil Stock Exchange</v>
    <v>9000595000</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19.739999999999998</v>
    <v>531</v>
    <v>45870.958333333336</v>
    <v>187</v>
    <v>6519980</v>
    <v>BRL</v>
    <v>Brava Energia S.A.</v>
    <v>Brava Energia S.A.</v>
    <v>19.940000000000001</v>
    <v>19.39</v>
    <v>Praia de Botafogo, 186, SL 1401, 1501, Botafogo, Rio De Janeiro, RIO DE JANEIRO, 22.250-145 BR</v>
    <v>Oil &amp; Gas</v>
    <v>BRAV3</v>
    <v>Ações</v>
    <v>Brava Energia S.A. (BVMF:BRAV3)</v>
    <v>-0.35</v>
    <v>-1.7729999999999999E-2</v>
    <v>9675900</v>
  </rv>
  <rv s="2">
    <v>188</v>
  </rv>
  <rv s="0">
    <v>https://www.bing.com/financeapi/forcetrigger?t=apmxqh&amp;q=BVMF%3aMILS3&amp;form=skydnc</v>
    <v>Learn more on Bing</v>
  </rv>
  <rv s="8">
    <v>pt-BR</v>
    <v>apmxqh</v>
    <v>268435456</v>
    <v>1</v>
    <v>Da plataforma Refinitiv</v>
    <v>14</v>
    <v>15</v>
    <v>Mills Locação, Serviços e Logística S.A (BVMF:MILS3)</v>
    <v>12</v>
    <v>16</v>
    <v>Finance</v>
    <v>5</v>
    <v>11.7</v>
    <v>8.06</v>
    <v>BVMF</v>
    <v>234178200</v>
    <v>11.59</v>
    <v>1980</v>
    <v>11.2</v>
    <v>1.5163</v>
    <v>B3 - Brazil Stock Exchange</v>
    <v>2660264000</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11.25</v>
    <v>1205</v>
    <v>45870.958333333336</v>
    <v>190</v>
    <v>750580</v>
    <v>BRL</v>
    <v>Mills Locação, Serviços e Logística S.A</v>
    <v>Mills Locação, Serviços e Logística S.A</v>
    <v>11.2</v>
    <v>11.36</v>
    <v>Avenida Dra. Ruth Cardoso, n 7815 - CJ 401-B, Pinheiros, SAO PAULO, SAO PAULO, 05.425-905 BR</v>
    <v>Professional &amp; Commercial Services</v>
    <v>MILS3</v>
    <v>Ações</v>
    <v>Mills Locação, Serviços e Logística S.A (BVMF:MILS3)</v>
    <v>0.11</v>
    <v>9.7780000000000002E-3</v>
    <v>616600</v>
  </rv>
  <rv s="2">
    <v>191</v>
  </rv>
  <rv s="0">
    <v>https://www.bing.com/financeapi/forcetrigger?t=apne6h&amp;q=BVMF%3aSTBP3&amp;form=skydnc</v>
    <v>Learn more on Bing</v>
  </rv>
  <rv s="8">
    <v>pt-BR</v>
    <v>apne6h</v>
    <v>268435456</v>
    <v>1</v>
    <v>Da plataforma Refinitiv</v>
    <v>14</v>
    <v>15</v>
    <v>SANTOS BRASIL PARTICIPAÇÕES S.A. (BVMF:STBP3)</v>
    <v>12</v>
    <v>16</v>
    <v>Finance</v>
    <v>5</v>
    <v>14</v>
    <v>10.52</v>
    <v>BVMF</v>
    <v>864170300</v>
    <v>13.97</v>
    <v>1998</v>
    <v>13.94</v>
    <v>1.2765</v>
    <v>B3 - Brazil Stock Exchange</v>
    <v>12063820000</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13.95</v>
    <v>3703</v>
    <v>45870.958333333336</v>
    <v>193</v>
    <v>3973010</v>
    <v>BRL</v>
    <v>SANTOS BRASIL PARTICIPAÇÕES S.A.</v>
    <v>SANTOS BRASIL PARTICIPAÇÕES S.A.</v>
    <v>13.97</v>
    <v>13.96</v>
    <v>Rua Joaquim Floriano, 413 - 10 andar cj 101 e 102, Itaim Bibi, SAO PAULO, SAO PAULO, 04.534-011 BR</v>
    <v>Transport Infrastructure</v>
    <v>STBP3</v>
    <v>Ações</v>
    <v>SANTOS BRASIL PARTICIPAÇÕES S.A. (BVMF:STBP3)</v>
    <v>0.01</v>
    <v>7.1679999999999997E-4</v>
    <v>1876900</v>
  </rv>
  <rv s="2">
    <v>194</v>
  </rv>
  <rv s="0">
    <v>https://www.bing.com/financeapi/forcetrigger?t=ayd527&amp;q=BVMF%3aVBBR3&amp;form=skydnc</v>
    <v>Learn more on Bing</v>
  </rv>
  <rv s="8">
    <v>pt-BR</v>
    <v>ayd527</v>
    <v>268435456</v>
    <v>1</v>
    <v>Da plataforma Refinitiv</v>
    <v>14</v>
    <v>15</v>
    <v>Vibra Energia S.A. (BVMF:VBBR3)</v>
    <v>12</v>
    <v>16</v>
    <v>Finance</v>
    <v>5</v>
    <v>25.31</v>
    <v>15.33</v>
    <v>BVMF</v>
    <v>1119000000</v>
    <v>21.75</v>
    <v>1971</v>
    <v>21.1</v>
    <v>1.0285</v>
    <v>B3 - Brazil Stock Exchange</v>
    <v>23722800000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21.21</v>
    <v>3814</v>
    <v>45870.958333333336</v>
    <v>196</v>
    <v>11243750</v>
    <v>BRL</v>
    <v>Vibra Energia S.A.</v>
    <v>Vibra Energia S.A.</v>
    <v>21.65</v>
    <v>21.2</v>
    <v>Rua Correia Vasques n 250 4 andar, Cidade Nova, RIO DE JANEIRO, RIO DE JANEIRO, 20.211-140 BR</v>
    <v>Oil &amp; Gas</v>
    <v>VBBR3</v>
    <v>Ações</v>
    <v>Vibra Energia S.A. (BVMF:VBBR3)</v>
    <v>-0.01</v>
    <v>-4.7149999999999997E-4</v>
    <v>10955800</v>
  </rv>
  <rv s="2">
    <v>197</v>
  </rv>
  <rv s="0">
    <v>https://www.bing.com/financeapi/forcetrigger?t=apmm2w&amp;q=BVMF%3aFRAS3&amp;form=skydnc</v>
    <v>Learn more on Bing</v>
  </rv>
  <rv s="9">
    <v>pt-BR</v>
    <v>apmm2w</v>
    <v>268435456</v>
    <v>1</v>
    <v>Da plataforma Refinitiv</v>
    <v>17</v>
    <v>18</v>
    <v>FRAS-LE S.A. (BVMF:FRAS3)</v>
    <v>12</v>
    <v>19</v>
    <v>Finance</v>
    <v>5</v>
    <v>29.38</v>
    <v>17.440000000000001</v>
    <v>BVMF</v>
    <v>280335100</v>
    <v>23.96</v>
    <v>1954</v>
    <v>23.42</v>
    <v>0.98609999999999998</v>
    <v>B3 - Brazil Stock Exchange</v>
    <v>6629925000</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23.61</v>
    <v>45870.907638888886</v>
    <v>199</v>
    <v>505520</v>
    <v>BRL</v>
    <v>FRAS-LE S.A.</v>
    <v>FRAS-LE S.A.</v>
    <v>23.83</v>
    <v>23.65</v>
    <v>Rodovia RS 122, Km 66, n 10.945 Predio adm, Forqueta, CAXIAS DO SUL, RIO GRANDE DO SUL, 95.010-550 BR</v>
    <v>Automobiles &amp; Auto Parts</v>
    <v>FRAS3</v>
    <v>Ações</v>
    <v>FRAS-LE S.A. (BVMF:FRAS3)</v>
    <v>0.04</v>
    <v>1.694E-3</v>
    <v>485400</v>
  </rv>
  <rv s="2">
    <v>200</v>
  </rv>
  <rv s="0">
    <v>https://www.bing.com/financeapi/forcetrigger?t=aplvu2&amp;q=BVMF%3aALUP4&amp;form=skydnc</v>
    <v>Learn more on Bing</v>
  </rv>
  <rv s="8">
    <v>pt-BR</v>
    <v>aplvu2</v>
    <v>268435456</v>
    <v>1</v>
    <v>Da plataforma Refinitiv</v>
    <v>14</v>
    <v>15</v>
    <v>Alupar Investimento S.A. (BVMF:ALUP4)</v>
    <v>12</v>
    <v>16</v>
    <v>Finance</v>
    <v>5</v>
    <v>10.3</v>
    <v>8.19</v>
    <v>BVMF</v>
    <v>109875600</v>
    <v>9.67</v>
    <v>2006</v>
    <v>9.41</v>
    <v>0.62539999999999996</v>
    <v>B3 - Brazil Stock Exchange</v>
    <v>9789918000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9.49</v>
    <v>906</v>
    <v>45870.958333333336</v>
    <v>202</v>
    <v>1080820</v>
    <v>BRL</v>
    <v>Alupar Investimento S.A.</v>
    <v>Alupar Investimento S.A.</v>
    <v>9.41</v>
    <v>9.4600000000000009</v>
    <v>Rua Gomes de Carvalho, n 1996 16 andar, Vila Olimpia, SAO PAULO, SAO PAULO, 04.547-006 BR</v>
    <v>Electrical Utilities &amp; IPPs</v>
    <v>ALUP4</v>
    <v>Ações</v>
    <v>Alupar Investimento S.A. (BVMF:ALUP4)</v>
    <v>-0.03</v>
    <v>-3.1609999999999997E-3</v>
    <v>23500</v>
  </rv>
  <rv s="2">
    <v>203</v>
  </rv>
  <rv s="0">
    <v>https://www.bing.com/financeapi/forcetrigger?t=apnhim&amp;q=BVMF%3aTRIS3&amp;form=skydnc</v>
    <v>Learn more on Bing</v>
  </rv>
  <rv s="8">
    <v>pt-BR</v>
    <v>apnhim</v>
    <v>268435456</v>
    <v>1</v>
    <v>Da plataforma Refinitiv</v>
    <v>14</v>
    <v>15</v>
    <v>TRISUL S.A. (BVMF:TRIS3)</v>
    <v>12</v>
    <v>16</v>
    <v>Finance</v>
    <v>5</v>
    <v>8.1</v>
    <v>3.97</v>
    <v>BVMF</v>
    <v>186617500</v>
    <v>6.48</v>
    <v>2007</v>
    <v>6.21</v>
    <v>1.5283</v>
    <v>B3 - Brazil Stock Exchange</v>
    <v>1194352000</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6.21</v>
    <v>379</v>
    <v>45870.958333333336</v>
    <v>205</v>
    <v>387000</v>
    <v>BRL</v>
    <v>TRISUL S.A.</v>
    <v>TRISUL S.A.</v>
    <v>6.21</v>
    <v>6.4</v>
    <v>Alameda dos Jaunas, 70, Indianopolis, SAO PAULO, SAO PAULO, 01.311-902 BR</v>
    <v>Homebuilding &amp; Construction Supplies</v>
    <v>TRIS3</v>
    <v>Ações</v>
    <v>TRISUL S.A. (BVMF:TRIS3)</v>
    <v>0.19</v>
    <v>3.0596000000000002E-2</v>
    <v>355500</v>
  </rv>
  <rv s="2">
    <v>206</v>
  </rv>
  <rv s="0">
    <v>https://www.bing.com/financeapi/forcetrigger?t=apngdm&amp;q=BVMF%3aTGMA3&amp;form=skydnc</v>
    <v>Learn more on Bing</v>
  </rv>
  <rv s="8">
    <v>pt-BR</v>
    <v>apngdm</v>
    <v>268435456</v>
    <v>1</v>
    <v>Da plataforma Refinitiv</v>
    <v>14</v>
    <v>15</v>
    <v>Tegma Gestão Logística S.A (BVMF:TGMA3)</v>
    <v>12</v>
    <v>16</v>
    <v>Finance</v>
    <v>5</v>
    <v>37.83</v>
    <v>21.53</v>
    <v>BVMF</v>
    <v>66002920</v>
    <v>37.479999999999997</v>
    <v>1998</v>
    <v>36.49</v>
    <v>1.1433</v>
    <v>B3 - Brazil Stock Exchange</v>
    <v>2457289000</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36.44</v>
    <v>5086</v>
    <v>45870.958333333336</v>
    <v>208</v>
    <v>285320</v>
    <v>BRL</v>
    <v>Tegma Gestão Logística S.A</v>
    <v>Tegma Gestão Logística S.A</v>
    <v>36.49</v>
    <v>37.229999999999997</v>
    <v>Av. Nicola Demarchi, 2000, Demarchi, SAO BERNARDO DO CAMPO, SAO PAULO, 09.820-655 BR</v>
    <v>Freight &amp; Logistics Services</v>
    <v>TGMA3</v>
    <v>Ações</v>
    <v>Tegma Gestão Logística S.A (BVMF:TGMA3)</v>
    <v>0.79</v>
    <v>2.1679E-2</v>
    <v>220700</v>
  </rv>
  <rv s="2">
    <v>209</v>
  </rv>
  <rv s="0">
    <v>https://www.bing.com/financeapi/forcetrigger?t=apn9cw&amp;q=BVMF%3aREDE3&amp;form=skydnc</v>
    <v>Learn more on Bing</v>
  </rv>
  <rv s="8">
    <v>pt-BR</v>
    <v>apn9cw</v>
    <v>268435456</v>
    <v>1</v>
    <v>Da plataforma Refinitiv</v>
    <v>14</v>
    <v>15</v>
    <v>Rede Energia Participações S.A (BVMF:REDE3)</v>
    <v>12</v>
    <v>16</v>
    <v>Finance</v>
    <v>5</v>
    <v>6.97</v>
    <v>5.84</v>
    <v>BVMF</v>
    <v>2110323000</v>
    <v>6.42</v>
    <v>1929</v>
    <v>6.28</v>
    <v>0.23169999999999999</v>
    <v>B3 - Brazil Stock Exchange</v>
    <v>13252830000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6.42</v>
    <v>7703</v>
    <v>45870.819664351853</v>
    <v>211</v>
    <v>750</v>
    <v>BRL</v>
    <v>Rede Energia Participações S.A</v>
    <v>Rede Energia Participações S.A</v>
    <v>6.41</v>
    <v>6.28</v>
    <v>Praca Rui Barbosa,n 80, Centro, CATAGUASES, MINAS GERAIS, 36.770-901 BR</v>
    <v>Electrical Utilities &amp; IPPs</v>
    <v>REDE3</v>
    <v>Ações</v>
    <v>Rede Energia Participações S.A (BVMF:REDE3)</v>
    <v>-0.14000000000000001</v>
    <v>-2.1807E-2</v>
    <v>1100</v>
  </rv>
  <rv s="2">
    <v>212</v>
  </rv>
  <rv s="0">
    <v>https://www.bing.com/financeapi/forcetrigger?t=apn9u2&amp;q=BVMF%3aRNEW3&amp;form=skydnc</v>
    <v>Learn more on Bing</v>
  </rv>
  <rv s="8">
    <v>pt-BR</v>
    <v>apn9u2</v>
    <v>268435456</v>
    <v>1</v>
    <v>Da plataforma Refinitiv</v>
    <v>14</v>
    <v>15</v>
    <v>RENOVA ENERGIA S.A. - EM RECUPERAÇÃO JUDICIAL (BVMF:RNEW3)</v>
    <v>12</v>
    <v>16</v>
    <v>Finance</v>
    <v>5</v>
    <v>2.6</v>
    <v>0.84</v>
    <v>BVMF</v>
    <v>124061300</v>
    <v>1.21</v>
    <v>2006</v>
    <v>1.17</v>
    <v>1.2271000000000001</v>
    <v>B3 - Brazil Stock Exchange</v>
    <v>446600300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1.19</v>
    <v>141</v>
    <v>45870.958333333336</v>
    <v>214</v>
    <v>63110</v>
    <v>BRL</v>
    <v>RENOVA ENERGIA S.A. - EM RECUPERAÇÃO JUDICIAL</v>
    <v>RENOVA ENERGIA S.A. - EM RECUPERAÇÃO JUDICIAL</v>
    <v>1.17</v>
    <v>1.21</v>
    <v>Avenida das Nacoes Unidas, n 10.989, conjunto 82, Vila Olimpia, SAO PAULO, SAO PAULO, 04.578-000 BR</v>
    <v>Electrical Utilities &amp; IPPs</v>
    <v>RNEW3</v>
    <v>Ações</v>
    <v>RENOVA ENERGIA S.A. - EM RECUPERAÇÃO JUDICIAL (BVMF:RNEW3)</v>
    <v>0.02</v>
    <v>1.6807000000000002E-2</v>
    <v>18100</v>
  </rv>
  <rv s="2">
    <v>215</v>
  </rv>
  <rv s="0">
    <v>https://www.bing.com/financeapi/forcetrigger?t=apmdz2&amp;q=BVMF%3aCVCB3&amp;form=skydnc</v>
    <v>Learn more on Bing</v>
  </rv>
  <rv s="8">
    <v>pt-BR</v>
    <v>apmdz2</v>
    <v>268435456</v>
    <v>1</v>
    <v>Da plataforma Refinitiv</v>
    <v>14</v>
    <v>15</v>
    <v>CVC Brasil Operadora e Agência de Viagens S.A. (BVMF:CVCB3)</v>
    <v>12</v>
    <v>16</v>
    <v>Finance</v>
    <v>5</v>
    <v>2.92</v>
    <v>1.33</v>
    <v>BVMF</v>
    <v>525591100</v>
    <v>2.42</v>
    <v>2009</v>
    <v>2.3199999999999998</v>
    <v>2.4597000000000002</v>
    <v>B3 - Brazil Stock Exchange</v>
    <v>1235139000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2.36</v>
    <v>2000</v>
    <v>45870.958333333336</v>
    <v>217</v>
    <v>7871310</v>
    <v>BRL</v>
    <v>CVC Brasil Operadora e Agência de Viagens S.A.</v>
    <v>CVC Brasil Operadora e Agência de Viagens S.A.</v>
    <v>2.39</v>
    <v>2.35</v>
    <v>Rua da Catequese, 227, 11 andar, sala 111, Jardim, SANTO ANDRE, SAO PAULO, 09.090-401 BR</v>
    <v>Hotels &amp; Entertainment Services</v>
    <v>CVCB3</v>
    <v>Ações</v>
    <v>CVC Brasil Operadora e Agência de Viagens S.A. (BVMF:CVCB3)</v>
    <v>-0.01</v>
    <v>-4.2370000000000003E-3</v>
    <v>7980600</v>
  </rv>
  <rv s="2">
    <v>218</v>
  </rv>
  <rv s="0">
    <v>https://www.bing.com/financeapi/forcetrigger?t=bxo6p2&amp;q=BVMF%3aORVR3&amp;form=skydnc</v>
    <v>Learn more on Bing</v>
  </rv>
  <rv s="9">
    <v>pt-BR</v>
    <v>bxo6p2</v>
    <v>268435456</v>
    <v>1</v>
    <v>Da plataforma Refinitiv</v>
    <v>17</v>
    <v>18</v>
    <v>Orizon Valorização de Resíduos S.A. (BVMF:ORVR3)</v>
    <v>12</v>
    <v>19</v>
    <v>Finance</v>
    <v>5</v>
    <v>54.47</v>
    <v>36.04</v>
    <v>BVMF</v>
    <v>109302800</v>
    <v>48.97</v>
    <v>2009</v>
    <v>47.8</v>
    <v>0.91920000000000002</v>
    <v>B3 - Brazil Stock Exchange</v>
    <v>5238886000</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47.97</v>
    <v>45870.958333333336</v>
    <v>220</v>
    <v>409390</v>
    <v>BRL</v>
    <v>Orizon Valorização de Resíduos S.A.</v>
    <v>Orizon Valorização de Resíduos S.A.</v>
    <v>48.97</v>
    <v>47.93</v>
    <v>Avenida das Nacoes Unidas, 12.901 8 andar, Torre Oest, Brooklin Paulista, SAO PAULO, SAO PAULO, 04.578-910 BR</v>
    <v>Professional &amp; Commercial Services</v>
    <v>ORVR3</v>
    <v>Ações</v>
    <v>Orizon Valorização de Resíduos S.A. (BVMF:ORVR3)</v>
    <v>-0.04</v>
    <v>-8.3390000000000005E-4</v>
    <v>295000</v>
  </rv>
  <rv s="2">
    <v>221</v>
  </rv>
  <rv s="0">
    <v>https://www.bing.com/financeapi/forcetrigger?t=apmrxm&amp;q=BVMF%3aIRBR3&amp;form=skydnc</v>
    <v>Learn more on Bing</v>
  </rv>
  <rv s="8">
    <v>pt-BR</v>
    <v>apmrxm</v>
    <v>268435456</v>
    <v>1</v>
    <v>Da plataforma Refinitiv</v>
    <v>14</v>
    <v>15</v>
    <v>IRB-Brasil Resseguros S.A. (BVMF:IRBR3)</v>
    <v>12</v>
    <v>16</v>
    <v>Finance</v>
    <v>5</v>
    <v>57.99</v>
    <v>27.51</v>
    <v>BVMF</v>
    <v>81842890</v>
    <v>46.11</v>
    <v>1939</v>
    <v>44.32</v>
    <v>1.4105000000000001</v>
    <v>B3 - Brazil Stock Exchange</v>
    <v>3627277000</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45.5</v>
    <v>399</v>
    <v>45870.958333333336</v>
    <v>223</v>
    <v>694890</v>
    <v>BRL</v>
    <v>IRB-Brasil Resseguros S.A.</v>
    <v>IRB-Brasil Resseguros S.A.</v>
    <v>45.79</v>
    <v>44.32</v>
    <v>Av. Republica do Chile, n 330, Torre Leste, e 4 andares, Centro, RIO DE JANEIRO, RIO DE JANEIRO, 20.031-170 BR</v>
    <v>Insurance</v>
    <v>IRBR3</v>
    <v>Ações</v>
    <v>IRB-Brasil Resseguros S.A. (BVMF:IRBR3)</v>
    <v>-1.18</v>
    <v>-2.5933999999999999E-2</v>
    <v>815300</v>
  </rv>
  <rv s="2">
    <v>224</v>
  </rv>
  <rv s="0">
    <v>https://www.bing.com/financeapi/forcetrigger?t=apmg1h&amp;q=BVMF%3aEALT4&amp;form=skydnc</v>
    <v>Learn more on Bing</v>
  </rv>
  <rv s="8">
    <v>pt-BR</v>
    <v>apmg1h</v>
    <v>268435456</v>
    <v>1</v>
    <v>Da plataforma Refinitiv</v>
    <v>14</v>
    <v>15</v>
    <v>ELECTRO ACO ALTONA S.A. (BVMF:EALT4)</v>
    <v>12</v>
    <v>16</v>
    <v>Finance</v>
    <v>5</v>
    <v>16.899999999999999</v>
    <v>10.98</v>
    <v>BVMF</v>
    <v>22500000</v>
    <v>13.41</v>
    <v>1924</v>
    <v>12.98</v>
    <v>0.59199999999999997</v>
    <v>B3 - Brazil Stock Exchange</v>
    <v>309307500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13.18</v>
    <v>1405</v>
    <v>45870.958333333336</v>
    <v>226</v>
    <v>20030</v>
    <v>BRL</v>
    <v>ELECTRO ACO ALTONA S.A.</v>
    <v>ELECTRO ACO ALTONA S.A.</v>
    <v>13.17</v>
    <v>12.98</v>
    <v>Rua Eng. Paul Werner 925,CONTABILIDADE, itoupava Seca, BLUMENAU, SANTA CATARINA, 89.030-900 BR</v>
    <v>Metals &amp; Mining</v>
    <v>EALT4</v>
    <v>Ações</v>
    <v>ELECTRO ACO ALTONA S.A. (BVMF:EALT4)</v>
    <v>-0.2</v>
    <v>-1.5175000000000001E-2</v>
    <v>20900</v>
  </rv>
  <rv s="2">
    <v>227</v>
  </rv>
  <rv s="0">
    <v>https://www.bing.com/financeapi/forcetrigger?t=apmoww&amp;q=BVMF%3aGRND3&amp;form=skydnc</v>
    <v>Learn more on Bing</v>
  </rv>
  <rv s="8">
    <v>pt-BR</v>
    <v>apmoww</v>
    <v>268435456</v>
    <v>1</v>
    <v>Da plataforma Refinitiv</v>
    <v>14</v>
    <v>15</v>
    <v>Grendene S.A. (BVMF:GRND3)</v>
    <v>12</v>
    <v>16</v>
    <v>Finance</v>
    <v>5</v>
    <v>5.82</v>
    <v>4.55</v>
    <v>BVMF</v>
    <v>902160000</v>
    <v>5.12</v>
    <v>1971</v>
    <v>5.03</v>
    <v>0.89049999999999996</v>
    <v>B3 - Brazil Stock Exchange</v>
    <v>4537865000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5.04</v>
    <v>17370</v>
    <v>45870.958333333336</v>
    <v>229</v>
    <v>1406090</v>
    <v>BRL</v>
    <v>Grendene S.A.</v>
    <v>Grendene S.A.</v>
    <v>5.07</v>
    <v>5.03</v>
    <v>Avenida Pimentel Gomes 214, Expectativa, SOBRAL, CEARA, 62.040-125 BR</v>
    <v>Textiles &amp; Apparel</v>
    <v>GRND3</v>
    <v>Ações</v>
    <v>Grendene S.A. (BVMF:GRND3)</v>
    <v>-0.01</v>
    <v>-1.9840000000000001E-3</v>
    <v>1329700</v>
  </rv>
  <rv s="2">
    <v>230</v>
  </rv>
  <rv s="0">
    <v>https://www.bing.com/financeapi/forcetrigger?t=apm3ar&amp;q=BVMF%3aBPAN4&amp;form=skydnc</v>
    <v>Learn more on Bing</v>
  </rv>
  <rv s="8">
    <v>pt-BR</v>
    <v>apm3ar</v>
    <v>268435456</v>
    <v>1</v>
    <v>Da plataforma Refinitiv</v>
    <v>14</v>
    <v>15</v>
    <v>BANCO PAN S.A. (BVMF:BPAN4)</v>
    <v>12</v>
    <v>16</v>
    <v>Finance</v>
    <v>5</v>
    <v>10.55</v>
    <v>6.14</v>
    <v>BVMF</v>
    <v>611509500</v>
    <v>7.92</v>
    <v>1966</v>
    <v>7.71</v>
    <v>1.5022</v>
    <v>B3 - Brazil Stock Exchange</v>
    <v>4726968000</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7.79</v>
    <v>2433</v>
    <v>45870.958333333336</v>
    <v>232</v>
    <v>1448490</v>
    <v>BRL</v>
    <v>BANCO PAN S.A.</v>
    <v>BANCO PAN S.A.</v>
    <v>7.92</v>
    <v>7.73</v>
    <v>Avenida Paulista, 1374 16 andar, Bela Vista, SAO PAULO, SAO PAULO, 01.310-100 BR</v>
    <v>Banking Services</v>
    <v>BPAN4</v>
    <v>Ações</v>
    <v>BANCO PAN S.A. (BVMF:BPAN4)</v>
    <v>-0.06</v>
    <v>-7.7019999999999996E-3</v>
    <v>824900</v>
  </rv>
  <rv s="2">
    <v>233</v>
  </rv>
  <rv s="0">
    <v>https://www.bing.com/financeapi/forcetrigger?t=apnlim&amp;q=BVMF%3aWEGE3&amp;form=skydnc</v>
    <v>Learn more on Bing</v>
  </rv>
  <rv s="8">
    <v>pt-BR</v>
    <v>apnlim</v>
    <v>268435456</v>
    <v>1</v>
    <v>Da plataforma Refinitiv</v>
    <v>14</v>
    <v>15</v>
    <v>WEG S.A. (BVMF:WEGE3)</v>
    <v>12</v>
    <v>16</v>
    <v>Finance</v>
    <v>5</v>
    <v>58.86</v>
    <v>35.75</v>
    <v>BVMF</v>
    <v>4197318000</v>
    <v>37.32</v>
    <v>1961</v>
    <v>36.340000000000003</v>
    <v>0.3483</v>
    <v>B3 - Brazil Stock Exchange</v>
    <v>156056300000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37.11</v>
    <v>47529</v>
    <v>45870.958333333336</v>
    <v>235</v>
    <v>17219080</v>
    <v>BRL</v>
    <v>WEG S.A.</v>
    <v>WEG S.A.</v>
    <v>37.270000000000003</v>
    <v>37.18</v>
    <v>Av. Prefeito Waldemar Grubba,3300, Vila Lalau, JARAGUA DO SUL, SANTA CATARINA, 89.256-900 BR</v>
    <v>Machinery, Equipment &amp; Components</v>
    <v>WEGE3</v>
    <v>Ações</v>
    <v>WEG S.A. (BVMF:WEGE3)</v>
    <v>7.0000000000000007E-2</v>
    <v>1.8859999999999999E-3</v>
    <v>16111100</v>
  </rv>
  <rv s="2">
    <v>236</v>
  </rv>
  <rv s="0">
    <v>https://www.bing.com/financeapi/forcetrigger?t=apmgoc&amp;q=BVMF%3aEGIE3&amp;form=skydnc</v>
    <v>Learn more on Bing</v>
  </rv>
  <rv s="8">
    <v>pt-BR</v>
    <v>apmgoc</v>
    <v>268435456</v>
    <v>1</v>
    <v>Da plataforma Refinitiv</v>
    <v>14</v>
    <v>15</v>
    <v>ENGIE BRASIL ENERGIA S.A. (BVMF:EGIE3)</v>
    <v>12</v>
    <v>16</v>
    <v>Finance</v>
    <v>5</v>
    <v>49.19</v>
    <v>33.65</v>
    <v>BVMF</v>
    <v>815927700</v>
    <v>40.54</v>
    <v>1998</v>
    <v>39.64</v>
    <v>0.58340000000000003</v>
    <v>B3 - Brazil Stock Exchange</v>
    <v>32800300000</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39.93</v>
    <v>1173</v>
    <v>45870.958333333336</v>
    <v>238</v>
    <v>957640</v>
    <v>BRL</v>
    <v>ENGIE BRASIL ENERGIA S.A.</v>
    <v>ENGIE BRASIL ENERGIA S.A.</v>
    <v>40.369999999999997</v>
    <v>40.200000000000003</v>
    <v>Rua Paschoal Apostolo Pitsica, 5064, Agronomica, FLORIANOPOLIS, SANTA CATARINA, 88.025-255 BR</v>
    <v>Electrical Utilities &amp; IPPs</v>
    <v>EGIE3</v>
    <v>Ações</v>
    <v>ENGIE BRASIL ENERGIA S.A. (BVMF:EGIE3)</v>
    <v>0.27</v>
    <v>6.7620000000000006E-3</v>
    <v>957800</v>
  </rv>
  <rv s="2">
    <v>239</v>
  </rv>
  <rv s="0">
    <v>https://www.bing.com/financeapi/forcetrigger?t=apmsoc&amp;q=BVMF%3aJBSS3&amp;form=skydnc</v>
    <v>Learn more on Bing</v>
  </rv>
  <rv s="8">
    <v>pt-BR</v>
    <v>apmsoc</v>
    <v>268435456</v>
    <v>1</v>
    <v>Da plataforma Refinitiv</v>
    <v>14</v>
    <v>15</v>
    <v>JBS S.A. (BVMF:JBSS3)</v>
    <v>12</v>
    <v>16</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241</v>
    <v>23419940</v>
    <v>BRL</v>
    <v>JBS S.A.</v>
    <v>JBS S.A.</v>
    <v>38.4</v>
    <v>39.03</v>
    <v>Av. Marginal Direita do Tiete, 500, Bloco 3 - 3 andar, Vila Jaguara, SAO PAULO, SAO PAULO, 05.118-100 BR</v>
    <v>Food &amp; Tobacco</v>
    <v>JBSS3</v>
    <v>Ações</v>
    <v>JBS S.A. (BVMF:JBSS3)</v>
    <v>0</v>
    <v>0</v>
    <v>94391100</v>
  </rv>
  <rv s="2">
    <v>242</v>
  </rv>
  <rv s="0">
    <v>https://www.bing.com/financeapi/forcetrigger?t=apn4m7&amp;q=BVMF%3aPFRM3&amp;form=skydnc</v>
    <v>Learn more on Bing</v>
  </rv>
  <rv s="8">
    <v>pt-BR</v>
    <v>apn4m7</v>
    <v>268435456</v>
    <v>1</v>
    <v>Da plataforma Refinitiv</v>
    <v>14</v>
    <v>15</v>
    <v>Profarma Distribuidora de Produtos Farmacêuticos S.A. (BVMF:PFRM3)</v>
    <v>12</v>
    <v>16</v>
    <v>Finance</v>
    <v>5</v>
    <v>9.15</v>
    <v>4.96</v>
    <v>BVMF</v>
    <v>123812800</v>
    <v>7.57</v>
    <v>1961</v>
    <v>7.29</v>
    <v>1.2748999999999999</v>
    <v>B3 - Brazil Stock Exchange</v>
    <v>914976400</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7.41</v>
    <v>7077</v>
    <v>45870.958333333336</v>
    <v>244</v>
    <v>204570</v>
    <v>BRL</v>
    <v>Profarma Distribuidora de Produtos Farmacêuticos S.A.</v>
    <v>Profarma Distribuidora de Produtos Farmacêuticos S.A.</v>
    <v>7.44</v>
    <v>7.39</v>
    <v>Avenida Ayrton Senna, 2150, Bloco P - 3 andar, Barra da Tijuca, RIO DE JANEIRO, RIO DE JANEIRO, 22.775-900 BR</v>
    <v>Pharmaceuticals</v>
    <v>PFRM3</v>
    <v>Ações</v>
    <v>Profarma Distribuidora de Produtos Farmacêuticos S.A. (BVMF:PFRM3)</v>
    <v>-0.02</v>
    <v>-2.6989999999999996E-3</v>
    <v>253300</v>
  </rv>
  <rv s="2">
    <v>245</v>
  </rv>
  <rv s="0">
    <v>https://www.bing.com/financeapi/forcetrigger?t=apmik2&amp;q=BVMF%3aEQTL3&amp;form=skydnc</v>
    <v>Learn more on Bing</v>
  </rv>
  <rv s="8">
    <v>pt-BR</v>
    <v>apmik2</v>
    <v>268435456</v>
    <v>1</v>
    <v>Da plataforma Refinitiv</v>
    <v>14</v>
    <v>15</v>
    <v>EQUATORIAL S.A. (BVMF:EQTL3)</v>
    <v>12</v>
    <v>16</v>
    <v>Finance</v>
    <v>5</v>
    <v>37.520000000000003</v>
    <v>25.65</v>
    <v>BVMF</v>
    <v>1254548000</v>
    <v>35.049999999999997</v>
    <v>1999</v>
    <v>34.08</v>
    <v>0.89380000000000004</v>
    <v>B3 - Brazil Stock Exchange</v>
    <v>43068640000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34.07</v>
    <v>1178</v>
    <v>45870.958333333336</v>
    <v>247</v>
    <v>4935520</v>
    <v>BRL</v>
    <v>EQUATORIAL S.A.</v>
    <v>EQUATORIAL S.A.</v>
    <v>34.33</v>
    <v>34.33</v>
    <v>Alameda A, Quadra SQS, n 100, Loteamento Quitandinha Anexo A, sala 31, Altos do Calhau, SAO LUIS, MARANHAO, 65.070-900 BR</v>
    <v>Electrical Utilities &amp; IPPs</v>
    <v>EQTL3</v>
    <v>Ações</v>
    <v>EQUATORIAL S.A. (BVMF:EQTL3)</v>
    <v>0.26</v>
    <v>7.6309999999999998E-3</v>
    <v>6028900</v>
  </rv>
  <rv s="2">
    <v>248</v>
  </rv>
  <rv s="0">
    <v>https://www.bing.com/financeapi/forcetrigger?t=bqyxtc&amp;q=BVMF%3aNEOE3&amp;form=skydnc</v>
    <v>Learn more on Bing</v>
  </rv>
  <rv s="8">
    <v>pt-BR</v>
    <v>bqyxtc</v>
    <v>268435456</v>
    <v>1</v>
    <v>Da plataforma Refinitiv</v>
    <v>14</v>
    <v>15</v>
    <v>NEOENERGIA S.A. (BVMF:NEOE3)</v>
    <v>12</v>
    <v>16</v>
    <v>Finance</v>
    <v>5</v>
    <v>26.19</v>
    <v>17.309999999999999</v>
    <v>BVMF</v>
    <v>1213797000</v>
    <v>25.15</v>
    <v>1996</v>
    <v>24.48</v>
    <v>0.7339</v>
    <v>B3 - Brazil Stock Exchange</v>
    <v>30053620000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24.51</v>
    <v>11746</v>
    <v>45870.958333333336</v>
    <v>250</v>
    <v>1187220</v>
    <v>BRL</v>
    <v>NEOENERGIA S.A.</v>
    <v>NEOENERGIA S.A.</v>
    <v>24.62</v>
    <v>24.76</v>
    <v>Praia do Flamengo, 78, 3 andar, Flamengo, RIO DE JANEIRO, RIO DE JANEIRO, 22.210-030 BR</v>
    <v>Electrical Utilities &amp; IPPs</v>
    <v>NEOE3</v>
    <v>Ações</v>
    <v>NEOENERGIA S.A. (BVMF:NEOE3)</v>
    <v>0.25</v>
    <v>1.0200000000000001E-2</v>
    <v>2376400</v>
  </rv>
  <rv s="2">
    <v>251</v>
  </rv>
  <rv s="0">
    <v>https://www.bing.com/financeapi/forcetrigger?t=apn5im&amp;q=BVMF%3aPOSI3&amp;form=skydnc</v>
    <v>Learn more on Bing</v>
  </rv>
  <rv s="8">
    <v>pt-BR</v>
    <v>apn5im</v>
    <v>268435456</v>
    <v>1</v>
    <v>Da plataforma Refinitiv</v>
    <v>14</v>
    <v>15</v>
    <v>POSITIVO TECNOLOGIA S.A. (BVMF:POSI3)</v>
    <v>12</v>
    <v>16</v>
    <v>Finance</v>
    <v>5</v>
    <v>7.25</v>
    <v>3.9</v>
    <v>BVMF</v>
    <v>141800000</v>
    <v>4.05</v>
    <v>1989</v>
    <v>3.9</v>
    <v>1.8911</v>
    <v>B3 - Brazil Stock Exchange</v>
    <v>562946000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3.97</v>
    <v>7000</v>
    <v>45870.958333333336</v>
    <v>253</v>
    <v>993550</v>
    <v>BRL</v>
    <v>POSITIVO TECNOLOGIA S.A.</v>
    <v>POSITIVO TECNOLOGIA S.A.</v>
    <v>4</v>
    <v>3.97</v>
    <v>Rua Joao Bettega, 5200, Nao aplicavel, Cidade Industrial, CURITIBA, PARANA, 81.350-000 BR</v>
    <v>Computers, Phones &amp; Household Electronics</v>
    <v>POSI3</v>
    <v>Ações</v>
    <v>POSITIVO TECNOLOGIA S.A. (BVMF:POSI3)</v>
    <v>0</v>
    <v>0</v>
    <v>1403800</v>
  </rv>
  <rv s="2">
    <v>254</v>
  </rv>
  <rv s="0">
    <v>https://www.bing.com/financeapi/forcetrigger?t=bxk8w7&amp;q=BVMF%3aWEST3&amp;form=skydnc</v>
    <v>Learn more on Bing</v>
  </rv>
  <rv s="9">
    <v>pt-BR</v>
    <v>bxk8w7</v>
    <v>268435456</v>
    <v>1</v>
    <v>Da plataforma Refinitiv</v>
    <v>17</v>
    <v>18</v>
    <v>WESTWING COMÉRCIO VAREJISTA S.A. (BVMF:WEST3)</v>
    <v>12</v>
    <v>19</v>
    <v>Finance</v>
    <v>5</v>
    <v>9.6999999999999993</v>
    <v>3.55</v>
    <v>BVMF</v>
    <v>11109350</v>
    <v>4.24</v>
    <v>2012</v>
    <v>3.79</v>
    <v>1.0882000000000001</v>
    <v>B3 - Brazil Stock Exchange</v>
    <v>47103640</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3.88</v>
    <v>45870.958333333336</v>
    <v>256</v>
    <v>7600</v>
    <v>BRL</v>
    <v>WESTWING COMÉRCIO VAREJISTA S.A.</v>
    <v>WESTWING COMÉRCIO VAREJISTA S.A.</v>
    <v>3.79</v>
    <v>4.24</v>
    <v>Av. Queiroz Filho, 1700 Torre A e B (partes), Vila Hamburguesa, Sao Paulo, SAO PAULO, 05.319-000 BR</v>
    <v>Specialty Retailers</v>
    <v>WEST3</v>
    <v>Ações</v>
    <v>WESTWING COMÉRCIO VAREJISTA S.A. (BVMF:WEST3)</v>
    <v>0.36</v>
    <v>9.2783999999999991E-2</v>
    <v>27500</v>
  </rv>
  <rv s="2">
    <v>257</v>
  </rv>
  <rv s="0">
    <v>https://www.bing.com/financeapi/forcetrigger?t=apmwu2&amp;q=BVMF%3aMDIA3&amp;form=skydnc</v>
    <v>Learn more on Bing</v>
  </rv>
  <rv s="8">
    <v>pt-BR</v>
    <v>apmwu2</v>
    <v>268435456</v>
    <v>1</v>
    <v>Da plataforma Refinitiv</v>
    <v>14</v>
    <v>15</v>
    <v>M. Dias Branco S.A. Indústria e Comércio de Alimentos (BVMF:MDIA3)</v>
    <v>12</v>
    <v>16</v>
    <v>Finance</v>
    <v>5</v>
    <v>29.02</v>
    <v>18.579999999999998</v>
    <v>BVMF</v>
    <v>339000000</v>
    <v>25.01</v>
    <v>1951</v>
    <v>24.17</v>
    <v>0.89380000000000004</v>
    <v>B3 - Brazil Stock Exchange</v>
    <v>8193630000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24.31</v>
    <v>16277</v>
    <v>45870.958333333336</v>
    <v>259</v>
    <v>497120</v>
    <v>BRL</v>
    <v>M. Dias Branco S.A. Indústria e Comércio de Alimentos</v>
    <v>M. Dias Branco S.A. Indústria e Comércio de Alimentos</v>
    <v>24.74</v>
    <v>24.17</v>
    <v>Rod Br 116 KM 18 S/N, Jabuti, EUSEBIO, CEARA, 61.760-000 BR</v>
    <v>Food &amp; Tobacco</v>
    <v>MDIA3</v>
    <v>Ações</v>
    <v>M. Dias Branco S.A. Indústria e Comércio de Alimentos (BVMF:MDIA3)</v>
    <v>-0.14000000000000001</v>
    <v>-5.7589999999999994E-3</v>
    <v>413900</v>
  </rv>
  <rv s="2">
    <v>260</v>
  </rv>
  <rv s="0">
    <v>https://www.bing.com/financeapi/forcetrigger?t=aplym7&amp;q=BVMF%3aBBDC4&amp;form=skydnc</v>
    <v>Learn more on Bing</v>
  </rv>
  <rv s="8">
    <v>pt-BR</v>
    <v>aplym7</v>
    <v>268435456</v>
    <v>1</v>
    <v>Da plataforma Refinitiv</v>
    <v>14</v>
    <v>15</v>
    <v>Banco Bradesco S.A. (BVMF:BBDC4)</v>
    <v>12</v>
    <v>16</v>
    <v>Finance</v>
    <v>5</v>
    <v>16.88</v>
    <v>10.57</v>
    <v>BVMF</v>
    <v>10592010000</v>
    <v>15.85</v>
    <v>1943</v>
    <v>15.51</v>
    <v>1.4981</v>
    <v>B3 - Brazil Stock Exchange</v>
    <v>153249300000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15.53</v>
    <v>83365</v>
    <v>45870.958333333336</v>
    <v>262</v>
    <v>32706350</v>
    <v>BRL</v>
    <v>Banco Bradesco S.A.</v>
    <v>Banco Bradesco S.A.</v>
    <v>15.71</v>
    <v>15.56</v>
    <v>Nucleo Cidade de Deus s/n, Vila Yara, OSASCO, SAO PAULO, 06.029-900 BR</v>
    <v>Banking Services</v>
    <v>BBDC4</v>
    <v>Ações</v>
    <v>Banco Bradesco S.A. (BVMF:BBDC4)</v>
    <v>0.03</v>
    <v>1.9320000000000001E-3</v>
    <v>30150500</v>
  </rv>
  <rv s="2">
    <v>263</v>
  </rv>
  <rv s="0">
    <v>https://www.bing.com/financeapi/forcetrigger?t=apn75r&amp;q=BVMF%3aPSSA3&amp;form=skydnc</v>
    <v>Learn more on Bing</v>
  </rv>
  <rv s="8">
    <v>pt-BR</v>
    <v>apn75r</v>
    <v>268435456</v>
    <v>1</v>
    <v>Da plataforma Refinitiv</v>
    <v>14</v>
    <v>15</v>
    <v>Porto Seguro S.A. (BVMF:PSSA3)</v>
    <v>12</v>
    <v>16</v>
    <v>Finance</v>
    <v>5</v>
    <v>57.09</v>
    <v>28.46</v>
    <v>BVMF</v>
    <v>646586100</v>
    <v>52.64</v>
    <v>1997</v>
    <v>51.95</v>
    <v>0.84219999999999995</v>
    <v>B3 - Brazil Stock Exchange</v>
    <v>33797050000</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51.89</v>
    <v>13700</v>
    <v>45870.958333333336</v>
    <v>265</v>
    <v>1637490</v>
    <v>BRL</v>
    <v>Porto Seguro S.A.</v>
    <v>Porto Seguro S.A.</v>
    <v>52.45</v>
    <v>52.27</v>
    <v>Alameda Barao de Piracicaba, 618/634 - Torre B, 11 andar, Campos Eliseos, SAO PAULO, SAO PAULO, 01.216-012 BR</v>
    <v>Insurance</v>
    <v>PSSA3</v>
    <v>Ações</v>
    <v>Porto Seguro S.A. (BVMF:PSSA3)</v>
    <v>0.38</v>
    <v>7.3229999999999996E-3</v>
    <v>2069400</v>
  </rv>
  <rv s="2">
    <v>266</v>
  </rv>
  <rv s="0">
    <v>https://www.bing.com/financeapi/forcetrigger?t=apn9ww&amp;q=BVMF%3aRNEW4&amp;form=skydnc</v>
    <v>Learn more on Bing</v>
  </rv>
  <rv s="8">
    <v>pt-BR</v>
    <v>apn9ww</v>
    <v>268435456</v>
    <v>1</v>
    <v>Da plataforma Refinitiv</v>
    <v>14</v>
    <v>15</v>
    <v>RENOVA ENERGIA S.A. - EM RECUPERAÇÃO JUDICIAL (BVMF:RNEW4)</v>
    <v>12</v>
    <v>16</v>
    <v>Finance</v>
    <v>5</v>
    <v>2.58</v>
    <v>0.85</v>
    <v>BVMF</v>
    <v>124061300</v>
    <v>1.19</v>
    <v>2006</v>
    <v>1.1399999999999999</v>
    <v>1.2271000000000001</v>
    <v>B3 - Brazil Stock Exchange</v>
    <v>446600300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1.17</v>
    <v>141</v>
    <v>45870.958333333336</v>
    <v>268</v>
    <v>63110</v>
    <v>BRL</v>
    <v>RENOVA ENERGIA S.A. - EM RECUPERAÇÃO JUDICIAL</v>
    <v>RENOVA ENERGIA S.A. - EM RECUPERAÇÃO JUDICIAL</v>
    <v>1.18</v>
    <v>1.1499999999999999</v>
    <v>Avenida das Nacoes Unidas, n 10.989, conjunto 82, Vila Olimpia, SAO PAULO, SAO PAULO, 04.578-000 BR</v>
    <v>Electrical Utilities &amp; IPPs</v>
    <v>RNEW4</v>
    <v>Ações</v>
    <v>RENOVA ENERGIA S.A. - EM RECUPERAÇÃO JUDICIAL (BVMF:RNEW4)</v>
    <v>-0.02</v>
    <v>-1.7094000000000002E-2</v>
    <v>31400</v>
  </rv>
  <rv s="2">
    <v>269</v>
  </rv>
  <rv s="0">
    <v>https://www.bing.com/financeapi/forcetrigger?t=apniz2&amp;q=BVMF%3aUNIP6&amp;form=skydnc</v>
    <v>Learn more on Bing</v>
  </rv>
  <rv s="8">
    <v>pt-BR</v>
    <v>apniz2</v>
    <v>268435456</v>
    <v>1</v>
    <v>Da plataforma Refinitiv</v>
    <v>14</v>
    <v>15</v>
    <v>UNIPAR CARBOCLORO S.A. (BVMF:UNIP6)</v>
    <v>12</v>
    <v>16</v>
    <v>Finance</v>
    <v>5</v>
    <v>61.95</v>
    <v>39.700000000000003</v>
    <v>BVMF</v>
    <v>113173300</v>
    <v>56.13</v>
    <v>1969</v>
    <v>54.49</v>
    <v>1.2807999999999999</v>
    <v>B3 - Brazil Stock Exchange</v>
    <v>5981041000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54.97</v>
    <v>1400</v>
    <v>45870.958333333336</v>
    <v>271</v>
    <v>96680</v>
    <v>BRL</v>
    <v>UNIPAR CARBOCLORO S.A.</v>
    <v>UNIPAR CARBOCLORO S.A.</v>
    <v>55.47</v>
    <v>55.13</v>
    <v>Avenida Presidente Juscelino Kubitschek, n 1327, 22 andar, Itaim Bibi, SAO PAULO, SAO PAULO, 04.543-011 BR</v>
    <v>Chemicals</v>
    <v>UNIP6</v>
    <v>Ações</v>
    <v>UNIPAR CARBOCLORO S.A. (BVMF:UNIP6)</v>
    <v>0.16</v>
    <v>2.9110000000000004E-3</v>
    <v>121000</v>
  </rv>
  <rv s="2">
    <v>272</v>
  </rv>
  <rv s="0">
    <v>https://www.bing.com/financeapi/forcetrigger?t=apmjgh&amp;q=BVMF%3aEZTC3&amp;form=skydnc</v>
    <v>Learn more on Bing</v>
  </rv>
  <rv s="8">
    <v>pt-BR</v>
    <v>apmjgh</v>
    <v>268435456</v>
    <v>1</v>
    <v>Da plataforma Refinitiv</v>
    <v>14</v>
    <v>15</v>
    <v>EZ TEC Empreendimentos e Participações S.A. (BVMF:EZTC3)</v>
    <v>12</v>
    <v>16</v>
    <v>Finance</v>
    <v>5</v>
    <v>15.68</v>
    <v>10.210000000000001</v>
    <v>BVMF</v>
    <v>220989100</v>
    <v>14.49</v>
    <v>2006</v>
    <v>13.79</v>
    <v>1.6317999999999999</v>
    <v>B3 - Brazil Stock Exchange</v>
    <v>3122576000</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13.73</v>
    <v>338</v>
    <v>45870.958333333336</v>
    <v>274</v>
    <v>1166190</v>
    <v>BRL</v>
    <v>EZ TEC Empreendimentos e Participações S.A.</v>
    <v>EZ TEC Empreendimentos e Participações S.A.</v>
    <v>13.79</v>
    <v>14.13</v>
    <v>Av. Republica do Libano,1.921, Ibirapuera, SAO PAULO, SAO PAULO, 04.501-002 BR</v>
    <v>Real Estate Operations</v>
    <v>EZTC3</v>
    <v>Ações</v>
    <v>EZ TEC Empreendimentos e Participações S.A. (BVMF:EZTC3)</v>
    <v>0.4</v>
    <v>2.9132999999999999E-2</v>
    <v>2069500</v>
  </rv>
  <rv s="2">
    <v>275</v>
  </rv>
  <rv s="0">
    <v>https://www.bing.com/financeapi/forcetrigger?t=awjq77&amp;q=BVMF%3aSUZB3&amp;form=skydnc</v>
    <v>Learn more on Bing</v>
  </rv>
  <rv s="8">
    <v>pt-BR</v>
    <v>awjq77</v>
    <v>268435456</v>
    <v>1</v>
    <v>Da plataforma Refinitiv</v>
    <v>14</v>
    <v>15</v>
    <v>SUZANO S.A. (BVMF:SUZB3)</v>
    <v>12</v>
    <v>16</v>
    <v>Finance</v>
    <v>5</v>
    <v>64.709999999999994</v>
    <v>49.15</v>
    <v>BVMF</v>
    <v>1264118000</v>
    <v>52.6</v>
    <v>1987</v>
    <v>51.47</v>
    <v>0.39029999999999998</v>
    <v>B3 - Brazil Stock Exchange</v>
    <v>65405450000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52.15</v>
    <v>56000</v>
    <v>45870.958333333336</v>
    <v>277</v>
    <v>4404570</v>
    <v>BRL</v>
    <v>SUZANO S.A.</v>
    <v>SUZANO S.A.</v>
    <v>52.28</v>
    <v>51.74</v>
    <v>Av. Professor Magalhaes Neto,1752 - 10 andar, Salas 1009/1010/1011, Pituba, SALVADOR, BAHIA, 41.810-012 BR</v>
    <v>Paper &amp; Forest Products</v>
    <v>SUZB3</v>
    <v>Ações</v>
    <v>SUZANO S.A. (BVMF:SUZB3)</v>
    <v>-0.41</v>
    <v>-7.8620000000000009E-3</v>
    <v>6867100</v>
  </rv>
  <rv s="2">
    <v>278</v>
  </rv>
  <rv s="0">
    <v>https://www.bing.com/financeapi/forcetrigger?t=apm1nm&amp;q=BVMF%3aBMEB4&amp;form=skydnc</v>
    <v>Learn more on Bing</v>
  </rv>
  <rv s="8">
    <v>pt-BR</v>
    <v>apm1nm</v>
    <v>268435456</v>
    <v>1</v>
    <v>Da plataforma Refinitiv</v>
    <v>14</v>
    <v>15</v>
    <v>Banco Mercantil do Brasil S.A. (BVMF:BMEB4)</v>
    <v>12</v>
    <v>16</v>
    <v>Finance</v>
    <v>5</v>
    <v>43.25</v>
    <v>30.51</v>
    <v>BVMF</v>
    <v>104831600</v>
    <v>41.5</v>
    <v>1940</v>
    <v>38</v>
    <v>0.1467</v>
    <v>B3 - Brazil Stock Exchange</v>
    <v>3773200000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38.69</v>
    <v>2958</v>
    <v>45870.958333333336</v>
    <v>280</v>
    <v>11120</v>
    <v>BRL</v>
    <v>Banco Mercantil do Brasil S.A.</v>
    <v>Banco Mercantil do Brasil S.A.</v>
    <v>38.6</v>
    <v>41.5</v>
    <v>Rua Rio De Janeiro, 680, Centro, BELO HORIZONTE, MINAS GERAIS, 30.160-912 BR</v>
    <v>Banking Services</v>
    <v>BMEB4</v>
    <v>Ações</v>
    <v>Banco Mercantil do Brasil S.A. (BVMF:BMEB4)</v>
    <v>2.81</v>
    <v>7.2628999999999999E-2</v>
    <v>17900</v>
  </rv>
  <rv s="2">
    <v>281</v>
  </rv>
  <rv s="0">
    <v>https://www.bing.com/financeapi/forcetrigger?t=apmb52&amp;q=BVMF%3aCPLE3&amp;form=skydnc</v>
    <v>Learn more on Bing</v>
  </rv>
  <rv s="8">
    <v>pt-BR</v>
    <v>apmb52</v>
    <v>268435456</v>
    <v>1</v>
    <v>Da plataforma Refinitiv</v>
    <v>14</v>
    <v>15</v>
    <v>Companhia Paranaense de Energia - Copel (BVMF:CPLE3)</v>
    <v>12</v>
    <v>16</v>
    <v>Finance</v>
    <v>5</v>
    <v>11.95</v>
    <v>7.57</v>
    <v>BVMF</v>
    <v>2982811000</v>
    <v>11.28</v>
    <v>1954</v>
    <v>10.9</v>
    <v>0.84519999999999995</v>
    <v>B3 - Brazil Stock Exchange</v>
    <v>34607020000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11.04</v>
    <v>4396</v>
    <v>45870.958333333336</v>
    <v>283</v>
    <v>10620800</v>
    <v>BRL</v>
    <v>Companhia Paranaense de Energia - Copel</v>
    <v>Companhia Paranaense de Energia - Copel</v>
    <v>10.9</v>
    <v>11.18</v>
    <v>Rua Jose Izidoro Biazetto, 158, Orleans, CURITIBA, PARANA, 81.200-240 BR</v>
    <v>Electrical Utilities &amp; IPPs</v>
    <v>CPLE3</v>
    <v>Ações</v>
    <v>Companhia Paranaense de Energia - Copel (BVMF:CPLE3)</v>
    <v>0.14000000000000001</v>
    <v>1.2681E-2</v>
    <v>5001600</v>
  </rv>
  <rv s="2">
    <v>284</v>
  </rv>
  <rv s="0">
    <v>https://www.bing.com/financeapi/forcetrigger?t=apn4dm&amp;q=BVMF%3aPETR3&amp;form=skydnc</v>
    <v>Learn more on Bing</v>
  </rv>
  <rv s="8">
    <v>pt-BR</v>
    <v>apn4dm</v>
    <v>268435456</v>
    <v>1</v>
    <v>Da plataforma Refinitiv</v>
    <v>14</v>
    <v>15</v>
    <v>Petróleo Brasileiro S.A. (Petrobras) (BVMF:PETR3)</v>
    <v>12</v>
    <v>16</v>
    <v>Finance</v>
    <v>5</v>
    <v>40.590000000000003</v>
    <v>30.84</v>
    <v>BVMF</v>
    <v>12888730000</v>
    <v>36.17</v>
    <v>1953</v>
    <v>34.950000000000003</v>
    <v>1.0201</v>
    <v>B3 - Brazil Stock Exchange</v>
    <v>437993700000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35.79</v>
    <v>49185</v>
    <v>45870.958333333336</v>
    <v>286</v>
    <v>23476880</v>
    <v>BRL</v>
    <v>Petróleo Brasileiro S.A. (Petrobras)</v>
    <v>Petróleo Brasileiro S.A. (Petrobras)</v>
    <v>36.17</v>
    <v>35.28</v>
    <v>Av. Republica do Chile, n 65, 24 andar, Centro, Rio de Janeiro, RIO DE JANEIRO, 20.031-912 BR</v>
    <v>Oil &amp; Gas</v>
    <v>PETR3</v>
    <v>Ações</v>
    <v>Petróleo Brasileiro S.A. (Petrobras) (BVMF:PETR3)</v>
    <v>-0.51</v>
    <v>-1.4250000000000001E-2</v>
    <v>5712700</v>
  </rv>
  <rv s="2">
    <v>287</v>
  </rv>
  <rv s="0">
    <v>https://www.bing.com/financeapi/forcetrigger?t=aplyjc&amp;q=BVMF%3aBBDC3&amp;form=skydnc</v>
    <v>Learn more on Bing</v>
  </rv>
  <rv s="8">
    <v>pt-BR</v>
    <v>aplyjc</v>
    <v>268435456</v>
    <v>1</v>
    <v>Da plataforma Refinitiv</v>
    <v>14</v>
    <v>15</v>
    <v>Banco Bradesco S.A. (BVMF:BBDC3)</v>
    <v>12</v>
    <v>16</v>
    <v>Finance</v>
    <v>5</v>
    <v>14.48</v>
    <v>9.69</v>
    <v>BVMF</v>
    <v>10592010000</v>
    <v>13.66</v>
    <v>1943</v>
    <v>13.36</v>
    <v>1.4981</v>
    <v>B3 - Brazil Stock Exchange</v>
    <v>153249300000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13.4</v>
    <v>83365</v>
    <v>45870.958333333336</v>
    <v>289</v>
    <v>32706350</v>
    <v>BRL</v>
    <v>Banco Bradesco S.A.</v>
    <v>Banco Bradesco S.A.</v>
    <v>13.53</v>
    <v>13.38</v>
    <v>Nucleo Cidade de Deus s/n, Vila Yara, OSASCO, SAO PAULO, 06.029-900 BR</v>
    <v>Banking Services</v>
    <v>BBDC3</v>
    <v>Ações</v>
    <v>Banco Bradesco S.A. (BVMF:BBDC3)</v>
    <v>-0.02</v>
    <v>-1.493E-3</v>
    <v>5418400</v>
  </rv>
  <rv s="2">
    <v>290</v>
  </rv>
  <rv s="0">
    <v>https://www.bing.com/financeapi/forcetrigger?t=apn5cw&amp;q=BVMF%3aPOMO4&amp;form=skydnc</v>
    <v>Learn more on Bing</v>
  </rv>
  <rv s="8">
    <v>pt-BR</v>
    <v>apn5cw</v>
    <v>268435456</v>
    <v>1</v>
    <v>Da plataforma Refinitiv</v>
    <v>14</v>
    <v>15</v>
    <v>MARCOPOLO S.A. (BVMF:POMO4)</v>
    <v>12</v>
    <v>16</v>
    <v>Finance</v>
    <v>5</v>
    <v>9.15</v>
    <v>5.72</v>
    <v>BVMF</v>
    <v>1136271000</v>
    <v>8.94</v>
    <v>1949</v>
    <v>8.66</v>
    <v>0.79479999999999995</v>
    <v>B3 - Brazil Stock Exchange</v>
    <v>9330745000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8.26</v>
    <v>16027</v>
    <v>45870.958333333336</v>
    <v>292</v>
    <v>10186510</v>
    <v>BRL</v>
    <v>MARCOPOLO S.A.</v>
    <v>MARCOPOLO S.A.</v>
    <v>8.6999999999999993</v>
    <v>8.89</v>
    <v>Avenida Marcopolo,280, Planalto, CAXIAS DO SUL, RIO GRANDE DO SUL, 95.086-200 BR</v>
    <v>Automobiles &amp; Auto Parts</v>
    <v>POMO4</v>
    <v>Ações</v>
    <v>MARCOPOLO S.A. (BVMF:POMO4)</v>
    <v>0.63</v>
    <v>7.6271000000000005E-2</v>
    <v>32364800</v>
  </rv>
  <rv s="2">
    <v>293</v>
  </rv>
  <rv s="0">
    <v>https://www.bing.com/financeapi/forcetrigger?t=apnjsm&amp;q=BVMF%3aVALE3&amp;form=skydnc</v>
    <v>Learn more on Bing</v>
  </rv>
  <rv s="8">
    <v>pt-BR</v>
    <v>apnjsm</v>
    <v>268435456</v>
    <v>1</v>
    <v>Da plataforma Refinitiv</v>
    <v>14</v>
    <v>15</v>
    <v>VALE S.A. (BVMF:VALE3)</v>
    <v>12</v>
    <v>16</v>
    <v>Finance</v>
    <v>5</v>
    <v>62.34</v>
    <v>48.77</v>
    <v>BVMF</v>
    <v>4539008000</v>
    <v>54.9</v>
    <v>1943</v>
    <v>53.57</v>
    <v>0.77749999999999997</v>
    <v>B3 - Brazil Stock Exchange</v>
    <v>243971700000</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53.46</v>
    <v>64616</v>
    <v>45870.958333333336</v>
    <v>295</v>
    <v>27309280</v>
    <v>BRL</v>
    <v>VALE S.A.</v>
    <v>VALE S.A.</v>
    <v>54.24</v>
    <v>53.75</v>
    <v>Torre Oscar Niemeyer, Praia de Botafogo n 186 Salas 1101 1701 1801, Botafogo, RIO DE JANEIRO, RIO DE JANEIRO, 22.250-145 BR</v>
    <v>Metals &amp; Mining</v>
    <v>VALE3</v>
    <v>Ações</v>
    <v>VALE S.A. (BVMF:VALE3)</v>
    <v>0.28999999999999998</v>
    <v>5.4250000000000001E-3</v>
    <v>40467200</v>
  </rv>
  <rv s="2">
    <v>296</v>
  </rv>
  <rv s="0">
    <v>https://www.bing.com/financeapi/forcetrigger?t=apn7yc&amp;q=BVMF%3aRADL3&amp;form=skydnc</v>
    <v>Learn more on Bing</v>
  </rv>
  <rv s="8">
    <v>pt-BR</v>
    <v>apn7yc</v>
    <v>268435456</v>
    <v>1</v>
    <v>Da plataforma Refinitiv</v>
    <v>14</v>
    <v>15</v>
    <v>Raia Drogasil S/A (BVMF:RADL3)</v>
    <v>12</v>
    <v>16</v>
    <v>Finance</v>
    <v>5</v>
    <v>29.81</v>
    <v>13.07</v>
    <v>BVMF</v>
    <v>1718007000</v>
    <v>13.75</v>
    <v>1935</v>
    <v>13.52</v>
    <v>0.77</v>
    <v>B3 - Brazil Stock Exchange</v>
    <v>23536700000</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13.47</v>
    <v>66275</v>
    <v>45870.958333333336</v>
    <v>298</v>
    <v>6630400</v>
    <v>BRL</v>
    <v>Raia Drogasil S/A</v>
    <v>Raia Drogasil S/A</v>
    <v>13.57</v>
    <v>13.7</v>
    <v>Av. Corifeu de Azevedo Marques, 3.097, Butanta, SAO PAULO, SAO PAULO, 05.339-900 BR</v>
    <v>Food &amp; Drug Retailing</v>
    <v>RADL3</v>
    <v>Ações</v>
    <v>Raia Drogasil S/A (BVMF:RADL3)</v>
    <v>0.23</v>
    <v>1.7075E-2</v>
    <v>6590700</v>
  </rv>
  <rv s="2">
    <v>299</v>
  </rv>
  <rv s="0">
    <v>https://www.bing.com/financeapi/forcetrigger?t=c1s4lh&amp;q=BVMF%3aGGPS3&amp;form=skydnc</v>
    <v>Learn more on Bing</v>
  </rv>
  <rv s="8">
    <v>pt-BR</v>
    <v>c1s4lh</v>
    <v>268435456</v>
    <v>1</v>
    <v>Da plataforma Refinitiv</v>
    <v>14</v>
    <v>15</v>
    <v>GPS PARTICIPAÇÕES E EMPREENDIMENTOS S.A. (BVMF:GGPS3)</v>
    <v>12</v>
    <v>16</v>
    <v>Finance</v>
    <v>5</v>
    <v>19.11</v>
    <v>12.12</v>
    <v>BVMF</v>
    <v>677280700</v>
    <v>14.65</v>
    <v>2007</v>
    <v>14.17</v>
    <v>1.3039000000000001</v>
    <v>B3 - Brazil Stock Exchange</v>
    <v>9705433000</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14.16</v>
    <v>183000</v>
    <v>45870.958333333336</v>
    <v>301</v>
    <v>2469560</v>
    <v>BRL</v>
    <v>GPS PARTICIPAÇÕES E EMPREENDIMENTOS S.A.</v>
    <v>GPS PARTICIPAÇÕES E EMPREENDIMENTOS S.A.</v>
    <v>14.3</v>
    <v>14.33</v>
    <v>Av. Miguel Frias e Vasconcelos, 1205, Jaguare, SAO PAULO, SAO PAULO, 05.345-000 BR</v>
    <v>Professional &amp; Commercial Services</v>
    <v>GGPS3</v>
    <v>Ações</v>
    <v>GPS PARTICIPAÇÕES E EMPREENDIMENTOS S.A. (BVMF:GGPS3)</v>
    <v>0.17</v>
    <v>1.2005999999999999E-2</v>
    <v>2125000</v>
  </rv>
  <rv s="2">
    <v>302</v>
  </rv>
  <rv s="0">
    <v>https://www.bing.com/financeapi/forcetrigger?t=bvoyz2&amp;q=BVMF%3aHBSA3&amp;form=skydnc</v>
    <v>Learn more on Bing</v>
  </rv>
  <rv s="9">
    <v>pt-BR</v>
    <v>bvoyz2</v>
    <v>268435456</v>
    <v>1</v>
    <v>Da plataforma Refinitiv</v>
    <v>17</v>
    <v>18</v>
    <v>Hidrovias do Brasil S.A (BVMF:HBSA3)</v>
    <v>12</v>
    <v>19</v>
    <v>Finance</v>
    <v>5</v>
    <v>3.89</v>
    <v>1.47</v>
    <v>BVMF</v>
    <v>1360383000</v>
    <v>3.67</v>
    <v>2010</v>
    <v>3.51</v>
    <v>1.2230000000000001</v>
    <v>B3 - Brazil Stock Exchange</v>
    <v>4883774000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3.54</v>
    <v>45870.958333333336</v>
    <v>304</v>
    <v>2815300</v>
    <v>BRL</v>
    <v>Hidrovias do Brasil S.A</v>
    <v>Hidrovias do Brasil S.A</v>
    <v>3.55</v>
    <v>3.59</v>
    <v>Rua Gilberto Sabino, 215 - 7 andar, SAO PAULO, SAO PAULO, 05.425-020 BR</v>
    <v>Freight &amp; Logistics Services</v>
    <v>HBSA3</v>
    <v>Ações</v>
    <v>Hidrovias do Brasil S.A (BVMF:HBSA3)</v>
    <v>0.05</v>
    <v>1.4124000000000001E-2</v>
    <v>1792400</v>
  </rv>
  <rv s="2">
    <v>305</v>
  </rv>
  <rv s="0">
    <v>https://www.bing.com/financeapi/forcetrigger?t=apm7gh&amp;q=BVMF%3aCCRO3&amp;form=skydnc</v>
    <v>Learn more on Bing</v>
  </rv>
  <rv s="8">
    <v>pt-BR</v>
    <v>apm7gh</v>
    <v>268435456</v>
    <v>1</v>
    <v>Da plataforma Refinitiv</v>
    <v>14</v>
    <v>15</v>
    <v>MOTIVA INFRAESTRUTURA DE MOBILIDADE S.A. (BVMF:MOTV3)</v>
    <v>12</v>
    <v>16</v>
    <v>Finance</v>
    <v>5</v>
    <v>14.1</v>
    <v>9.86</v>
    <v>BVMF</v>
    <v>2020000000</v>
    <v>12.7</v>
    <v>1998</v>
    <v>12.38</v>
    <v>1.0417000000000001</v>
    <v>B3 - Brazil Stock Exchange</v>
    <v>25250000000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12.31</v>
    <v>17124</v>
    <v>45870.958333333336</v>
    <v>307</v>
    <v>8617710</v>
    <v>BRL</v>
    <v>MOTIVA INFRAESTRUTURA DE MOBILIDADE S.A.</v>
    <v>MOTIVA INFRAESTRUTURA DE MOBILIDADE S.A.</v>
    <v>12.49</v>
    <v>12.5</v>
    <v>Av. Dra. Ruth Cardoso, 8.501, 5 andar, Pinheiros, SAO PAULO, SAO PAULO, 05.425-070 BR</v>
    <v>Transport Infrastructure</v>
    <v>MOTV3</v>
    <v>Ações</v>
    <v>MOTIVA INFRAESTRUTURA DE MOBILIDADE S.A. (BVMF:MOTV3)</v>
    <v>0.19</v>
    <v>1.5435000000000001E-2</v>
    <v>11069800</v>
  </rv>
  <rv s="2">
    <v>308</v>
  </rv>
  <rv s="0">
    <v>https://www.bing.com/financeapi/forcetrigger?t=bvu6jc&amp;q=BVMF%3aMELK3&amp;form=skydnc</v>
    <v>Learn more on Bing</v>
  </rv>
  <rv s="8">
    <v>pt-BR</v>
    <v>bvu6jc</v>
    <v>268435456</v>
    <v>1</v>
    <v>Da plataforma Refinitiv</v>
    <v>14</v>
    <v>15</v>
    <v>Melnick Desenvolvimento Imobiliário S.A. (BVMF:MELK3)</v>
    <v>12</v>
    <v>16</v>
    <v>Finance</v>
    <v>5</v>
    <v>3.56</v>
    <v>2.38</v>
    <v>BVMF</v>
    <v>206269300</v>
    <v>3.35</v>
    <v>2010</v>
    <v>3.29</v>
    <v>0.94720000000000004</v>
    <v>B3 - Brazil Stock Exchange</v>
    <v>682751500</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3.29</v>
    <v>458</v>
    <v>45870.958333333336</v>
    <v>310</v>
    <v>201940</v>
    <v>BRL</v>
    <v>Melnick Desenvolvimento Imobiliário S.A.</v>
    <v>Melnick Desenvolvimento Imobiliário S.A.</v>
    <v>3.29</v>
    <v>3.31</v>
    <v>Rua Carlos Trein Filho, n 551, N/A, Auxiliadora, Porto Alegre, RIO GRANDE DO SUL, 90.450-120 BR</v>
    <v>Homebuilding &amp; Construction Supplies</v>
    <v>MELK3</v>
    <v>Ações</v>
    <v>Melnick Desenvolvimento Imobiliário S.A. (BVMF:MELK3)</v>
    <v>0.02</v>
    <v>6.0790000000000002E-3</v>
    <v>194100</v>
  </rv>
  <rv s="2">
    <v>311</v>
  </rv>
  <rv s="0">
    <v>https://www.bing.com/financeapi/forcetrigger?t=apmb27&amp;q=BVMF%3aCPFE3&amp;form=skydnc</v>
    <v>Learn more on Bing</v>
  </rv>
  <rv s="8">
    <v>pt-BR</v>
    <v>apmb27</v>
    <v>268435456</v>
    <v>1</v>
    <v>Da plataforma Refinitiv</v>
    <v>14</v>
    <v>15</v>
    <v>CPFL ENERGIA S.A. (BVMF:CPFE3)</v>
    <v>12</v>
    <v>16</v>
    <v>Finance</v>
    <v>5</v>
    <v>41.48</v>
    <v>29.96</v>
    <v>BVMF</v>
    <v>1152254000</v>
    <v>38.51</v>
    <v>1998</v>
    <v>37.93</v>
    <v>0.64810000000000001</v>
    <v>B3 - Brazil Stock Exchange</v>
    <v>43705010000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37.909999999999997</v>
    <v>6432</v>
    <v>45870.958333333336</v>
    <v>313</v>
    <v>1134420</v>
    <v>BRL</v>
    <v>CPFL ENERGIA S.A.</v>
    <v>CPFL ENERGIA S.A.</v>
    <v>38.31</v>
    <v>37.93</v>
    <v>Rua Jorge de Figueiredo Correa,1632, parte, Jd Prof. Tarcilia, CAMPINAS, SAO PAULO, 13.087-397 BR</v>
    <v>Electrical Utilities &amp; IPPs</v>
    <v>CPFE3</v>
    <v>Ações</v>
    <v>CPFL ENERGIA S.A. (BVMF:CPFE3)</v>
    <v>0.02</v>
    <v>5.2760000000000003E-4</v>
    <v>1135500</v>
  </rv>
  <rv s="2">
    <v>314</v>
  </rv>
  <rv s="0">
    <v>https://www.bing.com/financeapi/forcetrigger?t=apnbbh&amp;q=BVMF%3aSBSP3&amp;form=skydnc</v>
    <v>Learn more on Bing</v>
  </rv>
  <rv s="8">
    <v>pt-BR</v>
    <v>apnbbh</v>
    <v>268435456</v>
    <v>1</v>
    <v>Da plataforma Refinitiv</v>
    <v>14</v>
    <v>15</v>
    <v>Companhia de Saneamento Básico do Estado de São Paulo - SABESP (BVMF:SBSP3)</v>
    <v>12</v>
    <v>16</v>
    <v>Finance</v>
    <v>5</v>
    <v>121.3</v>
    <v>83.13</v>
    <v>BVMF</v>
    <v>683509900</v>
    <v>111.3</v>
    <v>1973</v>
    <v>108.14</v>
    <v>0.83750000000000002</v>
    <v>B3 - Brazil Stock Exchange</v>
    <v>74413720000</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108.31</v>
    <v>9700</v>
    <v>45870.958333333336</v>
    <v>316</v>
    <v>2407900</v>
    <v>BRL</v>
    <v>Companhia de Saneamento Básico do Estado de São Paulo - SABESP</v>
    <v>Companhia de Saneamento Básico do Estado de São Paulo - SABESP</v>
    <v>109.71</v>
    <v>108.87</v>
    <v>Rua Costa Carvalho, n 300 Diretoria F, Pinheiros, SAO PAULO, SAO PAULO, 05.429-900 BR</v>
    <v>Water Utilities</v>
    <v>SBSP3</v>
    <v>Ações</v>
    <v>Companhia de Saneamento Básico do Estado de São Paulo - SABESP (BVMF:SBSP3)</v>
    <v>0.56000000000000005</v>
    <v>5.1700000000000001E-3</v>
    <v>4034800</v>
  </rv>
  <rv s="2">
    <v>317</v>
  </rv>
  <rv s="0">
    <v>https://www.bing.com/financeapi/forcetrigger?t=c1s4zr&amp;q=BVMF%3aSOJA3&amp;form=skydnc</v>
    <v>Learn more on Bing</v>
  </rv>
  <rv s="9">
    <v>pt-BR</v>
    <v>c1s4zr</v>
    <v>268435456</v>
    <v>1</v>
    <v>Da plataforma Refinitiv</v>
    <v>17</v>
    <v>18</v>
    <v>Boa Safra Sementes S.A. (BVMF:SOJA3)</v>
    <v>12</v>
    <v>19</v>
    <v>Finance</v>
    <v>5</v>
    <v>14.74</v>
    <v>9.5500000000000007</v>
    <v>BVMF</v>
    <v>135322100</v>
    <v>10.53</v>
    <v>2009</v>
    <v>10.24</v>
    <v>0.65269999999999995</v>
    <v>B3 - Brazil Stock Exchange</v>
    <v>1401936956</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10.36</v>
    <v>45870.958333333336</v>
    <v>319</v>
    <v>334400</v>
    <v>BRL</v>
    <v>Boa Safra Sementes S.A.</v>
    <v>Boa Safra Sementes S.A.</v>
    <v>10.36</v>
    <v>10.36</v>
    <v>Avenida Circular 209, Setor Industrial, Formosa, GOIAS, 73.813-014 BR</v>
    <v>Food &amp; Tobacco</v>
    <v>SOJA3</v>
    <v>Ações</v>
    <v>Boa Safra Sementes S.A. (BVMF:SOJA3)</v>
    <v>0</v>
    <v>0</v>
    <v>404700</v>
  </rv>
  <rv s="2">
    <v>320</v>
  </rv>
  <rv s="0">
    <v>https://www.bing.com/financeapi/forcetrigger?t=apn7h7&amp;q=BVMF%3aPTNT4&amp;form=skydnc</v>
    <v>Learn more on Bing</v>
  </rv>
  <rv s="8">
    <v>pt-BR</v>
    <v>apn7h7</v>
    <v>268435456</v>
    <v>1</v>
    <v>Da plataforma Refinitiv</v>
    <v>14</v>
    <v>15</v>
    <v>Pettenati S.A. Indústria Têxtil (BVMF:PTNT4)</v>
    <v>12</v>
    <v>16</v>
    <v>Finance</v>
    <v>5</v>
    <v>8.27</v>
    <v>4.45</v>
    <v>BVMF</v>
    <v>48046490</v>
    <v>4.8</v>
    <v>1964</v>
    <v>4.5999999999999996</v>
    <v>0.3664</v>
    <v>B3 - Brazil Stock Exchange</v>
    <v>296613700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4.68</v>
    <v>1745</v>
    <v>45870.958333333336</v>
    <v>322</v>
    <v>6870</v>
    <v>BRL</v>
    <v>Pettenati S.A. Indústria Têxtil</v>
    <v>Pettenati S.A. Indústria Têxtil</v>
    <v>4.66</v>
    <v>4.6100000000000003</v>
    <v>Rod Rsc 453, S/N,Km 2,4, Distrito Industrial, CAXIAS DO SUL, RIO GRANDE DO SUL, 95.010-550 BR</v>
    <v>Textiles &amp; Apparel</v>
    <v>PTNT4</v>
    <v>Ações</v>
    <v>Pettenati S.A. Indústria Têxtil (BVMF:PTNT4)</v>
    <v>-7.0000000000000007E-2</v>
    <v>-1.4957E-2</v>
    <v>12000</v>
  </rv>
  <rv s="2">
    <v>323</v>
  </rv>
  <rv s="0">
    <v>https://www.bing.com/financeapi/forcetrigger?t=c2ttqh&amp;q=BVMF%3aDESK3&amp;form=skydnc</v>
    <v>Learn more on Bing</v>
  </rv>
  <rv s="9">
    <v>pt-BR</v>
    <v>c2ttqh</v>
    <v>268435456</v>
    <v>1</v>
    <v>Da plataforma Refinitiv</v>
    <v>17</v>
    <v>18</v>
    <v>DESKTOP S.A. (BVMF:DESK3)</v>
    <v>12</v>
    <v>19</v>
    <v>Finance</v>
    <v>5</v>
    <v>17.239999999999998</v>
    <v>7.8</v>
    <v>BVMF</v>
    <v>115907200</v>
    <v>8.26</v>
    <v>2006</v>
    <v>7.8</v>
    <v>1.2629999999999999</v>
    <v>B3 - Brazil Stock Exchange</v>
    <v>941166300</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8.2200000000000006</v>
    <v>45870.837500937501</v>
    <v>325</v>
    <v>267560</v>
    <v>BRL</v>
    <v>DESKTOP S.A.</v>
    <v>DESKTOP S.A.</v>
    <v>8.15</v>
    <v>8.1199999999999992</v>
    <v>Estrada Municipal Teodor Condiev, 970 13o andar, Jardim Marchissolo, Sumare, SAO PAULO, 13.171-105 BR</v>
    <v>Telecommunications Services</v>
    <v>DESK3</v>
    <v>Ações</v>
    <v>DESKTOP S.A. (BVMF:DESK3)</v>
    <v>-0.1</v>
    <v>-1.2164999999999999E-2</v>
    <v>940800</v>
  </rv>
  <rv s="2">
    <v>326</v>
  </rv>
  <rv s="0">
    <v>https://www.bing.com/financeapi/forcetrigger?t=ayuegh&amp;q=BVMF%3aIGTI3&amp;form=skydnc</v>
    <v>Learn more on Bing</v>
  </rv>
  <rv s="8">
    <v>pt-BR</v>
    <v>ayuegh</v>
    <v>268435456</v>
    <v>1</v>
    <v>Da plataforma Refinitiv</v>
    <v>14</v>
    <v>15</v>
    <v>Iguatemi S.A. (BVMF:IGTI3)</v>
    <v>12</v>
    <v>16</v>
    <v>Finance</v>
    <v>5</v>
    <v>2.89</v>
    <v>1.93</v>
    <v>BVMF</v>
    <v>1206361000</v>
    <v>2.65</v>
    <v>1946</v>
    <v>2.44</v>
    <v>1.0387999999999999</v>
    <v>B3 - Brazil Stock Exchange</v>
    <v>6234909000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2.5099999999999998</v>
    <v>636</v>
    <v>45870.958333333336</v>
    <v>328</v>
    <v>53620</v>
    <v>BRL</v>
    <v>Iguatemi S.A.</v>
    <v>Iguatemi S.A.</v>
    <v>2.5299999999999998</v>
    <v>2.44</v>
    <v>Rua Angelina Maffei Vita 200 9 andar, Jardim Paulistano, SAO PAULO, SAO PAULO, 01.455-070 BR</v>
    <v>Real Estate Operations</v>
    <v>IGTI3</v>
    <v>Ações</v>
    <v>Iguatemi S.A. (BVMF:IGTI3)</v>
    <v>-7.0000000000000007E-2</v>
    <v>-2.7888000000000003E-2</v>
    <v>63900</v>
  </rv>
  <rv s="2">
    <v>329</v>
  </rv>
  <rv s="0">
    <v>https://www.bing.com/financeapi/forcetrigger?t=apmtnm&amp;q=BVMF%3aKEPL3&amp;form=skydnc</v>
    <v>Learn more on Bing</v>
  </rv>
  <rv s="8">
    <v>pt-BR</v>
    <v>apmtnm</v>
    <v>268435456</v>
    <v>1</v>
    <v>Da plataforma Refinitiv</v>
    <v>14</v>
    <v>15</v>
    <v>Kepler Weber S.A. (BVMF:KEPL3)</v>
    <v>12</v>
    <v>16</v>
    <v>Finance</v>
    <v>5</v>
    <v>10.92</v>
    <v>6.87</v>
    <v>BVMF</v>
    <v>179720100</v>
    <v>7.19</v>
    <v>1936</v>
    <v>7.03</v>
    <v>0.95050000000000001</v>
    <v>B3 - Brazil Stock Exchange</v>
    <v>1265230000</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7.02</v>
    <v>1925</v>
    <v>45870.958333333336</v>
    <v>331</v>
    <v>1133130</v>
    <v>BRL</v>
    <v>Kepler Weber S.A.</v>
    <v>Kepler Weber S.A.</v>
    <v>7.03</v>
    <v>7.04</v>
    <v>Rua do Rocio n 84, 3 andar, Vila Olimpia, SAO PAULO, SAO PAULO, 04.552-000 BR</v>
    <v>Machinery, Equipment &amp; Components</v>
    <v>KEPL3</v>
    <v>Ações</v>
    <v>Kepler Weber S.A. (BVMF:KEPL3)</v>
    <v>0.02</v>
    <v>2.849E-3</v>
    <v>878200</v>
  </rv>
  <rv s="2">
    <v>332</v>
  </rv>
  <rv s="0">
    <v>https://www.bing.com/financeapi/forcetrigger?t=apmvxm&amp;q=BVMF%3aLREN3&amp;form=skydnc</v>
    <v>Learn more on Bing</v>
  </rv>
  <rv s="8">
    <v>pt-BR</v>
    <v>apmvxm</v>
    <v>268435456</v>
    <v>1</v>
    <v>Da plataforma Refinitiv</v>
    <v>14</v>
    <v>15</v>
    <v>Lojas Renner S.A. (BVMF:LREN3)</v>
    <v>12</v>
    <v>16</v>
    <v>Finance</v>
    <v>5</v>
    <v>19.66</v>
    <v>10.53</v>
    <v>BVMF</v>
    <v>1059715000</v>
    <v>16.940000000000001</v>
    <v>1965</v>
    <v>16.28</v>
    <v>1.7902</v>
    <v>B3 - Brazil Stock Exchange</v>
    <v>17474700000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16.27</v>
    <v>25102</v>
    <v>45870.958333333336</v>
    <v>334</v>
    <v>12695340</v>
    <v>BRL</v>
    <v>Lojas Renner S.A.</v>
    <v>Lojas Renner S.A.</v>
    <v>16.5</v>
    <v>16.489999999999998</v>
    <v>Av. Joaquim Porto Villanova, 401,7 andar, Jardim do Salso, PORTO ALEGRE, RIO GRANDE DO SUL, 91.410-400 BR</v>
    <v>Specialty Retailers</v>
    <v>LREN3</v>
    <v>Ações</v>
    <v>Lojas Renner S.A. (BVMF:LREN3)</v>
    <v>0.22</v>
    <v>1.3522000000000001E-2</v>
    <v>13688100</v>
  </rv>
  <rv s="2">
    <v>335</v>
  </rv>
  <rv s="0">
    <v>https://www.bing.com/financeapi/forcetrigger?t=apmyyc&amp;q=BVMF%3aMRFG3&amp;form=skydnc</v>
    <v>Learn more on Bing</v>
  </rv>
  <rv s="8">
    <v>pt-BR</v>
    <v>apmyyc</v>
    <v>268435456</v>
    <v>1</v>
    <v>Da plataforma Refinitiv</v>
    <v>14</v>
    <v>15</v>
    <v>Marfrig Global Foods S.A. (BVMF:MRFG3)</v>
    <v>12</v>
    <v>16</v>
    <v>Finance</v>
    <v>5</v>
    <v>26.03</v>
    <v>9.48</v>
    <v>BVMF</v>
    <v>857928100</v>
    <v>22.45</v>
    <v>2000</v>
    <v>20.85</v>
    <v>0.98960000000000004</v>
    <v>B3 - Brazil Stock Exchange</v>
    <v>18376820000</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21.3</v>
    <v>126832</v>
    <v>45870.958333333336</v>
    <v>337</v>
    <v>4959880</v>
    <v>BRL</v>
    <v>Marfrig Global Foods S.A.</v>
    <v>Marfrig Global Foods S.A.</v>
    <v>21.51</v>
    <v>21.42</v>
    <v>Avenida Chedid Jafet, No 222, Block A, 1St Floor, SAO PAULO, SAO PAULO, 04.551-065 BR</v>
    <v>Food &amp; Tobacco</v>
    <v>MRFG3</v>
    <v>Ações</v>
    <v>Marfrig Global Foods S.A. (BVMF:MRFG3)</v>
    <v>0.12</v>
    <v>5.6340000000000001E-3</v>
    <v>7770200</v>
  </rv>
  <rv s="2">
    <v>338</v>
  </rv>
  <rv s="0">
    <v>https://www.bing.com/financeapi/forcetrigger?t=apmsu2&amp;q=BVMF%3aJFEN3&amp;form=skydnc</v>
    <v>Learn more on Bing</v>
  </rv>
  <rv s="8">
    <v>pt-BR</v>
    <v>apmsu2</v>
    <v>268435456</v>
    <v>1</v>
    <v>Da plataforma Refinitiv</v>
    <v>14</v>
    <v>15</v>
    <v>JOAO FORTES ENGENHARIA S.A. (BVMF:JFEN3)</v>
    <v>12</v>
    <v>16</v>
    <v>Finance</v>
    <v>5</v>
    <v>9.4</v>
    <v>1.4</v>
    <v>BVMF</v>
    <v>12802740</v>
    <v>1.57</v>
    <v>1940</v>
    <v>1.44</v>
    <v>1.4473</v>
    <v>B3 - Brazil Stock Exchange</v>
    <v>19972280</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1.47</v>
    <v>579</v>
    <v>45870.958333333336</v>
    <v>340</v>
    <v>6260</v>
    <v>BRL</v>
    <v>JOAO FORTES ENGENHARIA S.A.</v>
    <v>JOAO FORTES ENGENHARIA S.A.</v>
    <v>1.44</v>
    <v>1.56</v>
    <v>Av. das Americas, 3443, Sala 108, Bloco 3, Ala B, Barra da Tijuca, RIO DE JANEIRO, RIO DE JANEIRO, 22.631-003 BR</v>
    <v>Real Estate Operations</v>
    <v>JFEN3</v>
    <v>Ações</v>
    <v>JOAO FORTES ENGENHARIA S.A. (BVMF:JFEN3)</v>
    <v>0.09</v>
    <v>6.1224000000000001E-2</v>
    <v>23200</v>
  </rv>
  <rv s="2">
    <v>341</v>
  </rv>
  <rv s="0">
    <v>https://www.bing.com/financeapi/forcetrigger?t=apnjec&amp;q=BVMF%3aUSIM3&amp;form=skydnc</v>
    <v>Learn more on Bing</v>
  </rv>
  <rv s="8">
    <v>pt-BR</v>
    <v>apnjec</v>
    <v>268435456</v>
    <v>1</v>
    <v>Da plataforma Refinitiv</v>
    <v>14</v>
    <v>15</v>
    <v>Usinas Siderúrgicas de Minas Gerais S/A - USIMINAS (BVMF:USIM3)</v>
    <v>12</v>
    <v>16</v>
    <v>Finance</v>
    <v>5</v>
    <v>6.6</v>
    <v>4</v>
    <v>BVMF</v>
    <v>1253079000</v>
    <v>4.75</v>
    <v>1954</v>
    <v>4.49</v>
    <v>0.92459999999999998</v>
    <v>B3 - Brazil Stock Exchange</v>
    <v>5642303000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4.6100000000000003</v>
    <v>51182</v>
    <v>45870.958333333336</v>
    <v>343</v>
    <v>19081220</v>
    <v>BRL</v>
    <v>Usinas Siderúrgicas de Minas Gerais S/A - USIMINAS</v>
    <v>Usinas Siderúrgicas de Minas Gerais S/A - USIMINAS</v>
    <v>4.5999999999999996</v>
    <v>4.59</v>
    <v>Avenida do Contorno, 6.594, Savassi, BELO HORIZONTE, MINAS GERAIS, 30.110-044 BR</v>
    <v>Metals &amp; Mining</v>
    <v>USIM3</v>
    <v>Ações</v>
    <v>Usinas Siderúrgicas de Minas Gerais S/A - USIMINAS (BVMF:USIM3)</v>
    <v>-0.02</v>
    <v>-4.3379999999999998E-3</v>
    <v>606200</v>
  </rv>
  <rv s="2">
    <v>344</v>
  </rv>
  <rv s="0">
    <v>https://www.bing.com/financeapi/forcetrigger?t=bvm1h7&amp;q=BVMF%3aCURY3&amp;form=skydnc</v>
    <v>Learn more on Bing</v>
  </rv>
  <rv s="9">
    <v>pt-BR</v>
    <v>bvm1h7</v>
    <v>268435456</v>
    <v>1</v>
    <v>Da plataforma Refinitiv</v>
    <v>17</v>
    <v>18</v>
    <v>CURY CONSTRUTORA E INCORPORADORA S.A. (BVMF:CURY3)</v>
    <v>12</v>
    <v>19</v>
    <v>Finance</v>
    <v>5</v>
    <v>31.31</v>
    <v>16.3</v>
    <v>BVMF</v>
    <v>291875100</v>
    <v>30.69</v>
    <v>2007</v>
    <v>29.66</v>
    <v>1.0351999999999999</v>
    <v>B3 - Brazil Stock Exchange</v>
    <v>8785440000</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29.44</v>
    <v>45870.958333333336</v>
    <v>346</v>
    <v>1419180</v>
    <v>BRL</v>
    <v>CURY CONSTRUTORA E INCORPORADORA S.A.</v>
    <v>CURY CONSTRUTORA E INCORPORADORA S.A.</v>
    <v>29.8</v>
    <v>30.1</v>
    <v>Rua Funchal, n 411, 13 andar Conjunto 132-D, Vila Olimpia, Sao Paulo, SAO PAULO, 04.551-060 BR</v>
    <v>Homebuilding &amp; Construction Supplies</v>
    <v>CURY3</v>
    <v>Ações</v>
    <v>CURY CONSTRUTORA E INCORPORADORA S.A. (BVMF:CURY3)</v>
    <v>0.66</v>
    <v>2.2418E-2</v>
    <v>2276400</v>
  </rv>
  <rv s="2">
    <v>347</v>
  </rv>
  <rv s="0">
    <v>https://www.bing.com/financeapi/forcetrigger?t=apniqh&amp;q=BVMF%3aUGPA3&amp;form=skydnc</v>
    <v>Learn more on Bing</v>
  </rv>
  <rv s="8">
    <v>pt-BR</v>
    <v>apniqh</v>
    <v>268435456</v>
    <v>1</v>
    <v>Da plataforma Refinitiv</v>
    <v>14</v>
    <v>15</v>
    <v>ULTRAPAR PARTICIPAÇÕES S.A. (BVMF:UGPA3)</v>
    <v>12</v>
    <v>16</v>
    <v>Finance</v>
    <v>5</v>
    <v>23.74</v>
    <v>14.76</v>
    <v>BVMF</v>
    <v>1115507000</v>
    <v>17.440000000000001</v>
    <v>1953</v>
    <v>16.920000000000002</v>
    <v>1.1595</v>
    <v>B3 - Brazil Stock Exchange</v>
    <v>18874380000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17.170000000000002</v>
    <v>9558</v>
    <v>45870.958333333336</v>
    <v>349</v>
    <v>5625090</v>
    <v>BRL</v>
    <v>ULTRAPAR PARTICIPAÇÕES S.A.</v>
    <v>ULTRAPAR PARTICIPAÇÕES S.A.</v>
    <v>17.41</v>
    <v>16.920000000000002</v>
    <v>Avenida Brigadeiro Luis Antonio, 1.343, 8 andar, Bela Vista, SAO PAULO, SAO PAULO, 01.317-910 BR</v>
    <v>Oil &amp; Gas</v>
    <v>UGPA3</v>
    <v>Ações</v>
    <v>ULTRAPAR PARTICIPAÇÕES S.A. (BVMF:UGPA3)</v>
    <v>-0.25</v>
    <v>-1.456E-2</v>
    <v>6657900</v>
  </rv>
  <rv s="2">
    <v>350</v>
  </rv>
  <rv s="0">
    <v>https://www.bing.com/financeapi/forcetrigger?t=apmfur&amp;q=BVMF%3aDXCO3&amp;form=skydnc</v>
    <v>Learn more on Bing</v>
  </rv>
  <rv s="8">
    <v>pt-BR</v>
    <v>apmfur</v>
    <v>268435456</v>
    <v>1</v>
    <v>Da plataforma Refinitiv</v>
    <v>14</v>
    <v>15</v>
    <v>DEXCO S.A. (BVMF:DXCO3)</v>
    <v>12</v>
    <v>16</v>
    <v>Finance</v>
    <v>5</v>
    <v>8.8800000000000008</v>
    <v>5</v>
    <v>BVMF</v>
    <v>820566200</v>
    <v>5.79</v>
    <v>1962</v>
    <v>5.6</v>
    <v>0.73899999999999999</v>
    <v>B3 - Brazil Stock Exchange</v>
    <v>4603376000</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5.65</v>
    <v>13344</v>
    <v>45870.958333333336</v>
    <v>352</v>
    <v>3237230</v>
    <v>BRL</v>
    <v>DEXCO S.A.</v>
    <v>DEXCO S.A.</v>
    <v>5.64</v>
    <v>5.61</v>
    <v>Avenida Paulista 1938 - 5 andar, Bela Vista, SAO PAULO, SAO PAULO, 01.310-942 BR</v>
    <v>Paper &amp; Forest Products</v>
    <v>DXCO3</v>
    <v>Ações</v>
    <v>DEXCO S.A. (BVMF:DXCO3)</v>
    <v>-0.04</v>
    <v>-7.0799999999999995E-3</v>
    <v>2744900</v>
  </rv>
  <rv s="2">
    <v>353</v>
  </rv>
  <rv s="0">
    <v>https://www.bing.com/financeapi/forcetrigger?t=apnfpr&amp;q=BVMF%3aTEND3&amp;form=skydnc</v>
    <v>Learn more on Bing</v>
  </rv>
  <rv s="8">
    <v>pt-BR</v>
    <v>apnfpr</v>
    <v>268435456</v>
    <v>1</v>
    <v>Da plataforma Refinitiv</v>
    <v>14</v>
    <v>15</v>
    <v>CONSTRUTORA TENDA S/A (BVMF:TEND3)</v>
    <v>12</v>
    <v>16</v>
    <v>Finance</v>
    <v>5</v>
    <v>25.26</v>
    <v>11.77</v>
    <v>BVMF</v>
    <v>122578100</v>
    <v>22.58</v>
    <v>1993</v>
    <v>21.52</v>
    <v>1.4924999999999999</v>
    <v>B3 - Brazil Stock Exchange</v>
    <v>2707751000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21.3</v>
    <v>6287</v>
    <v>45870.958333333336</v>
    <v>355</v>
    <v>1945870</v>
    <v>BRL</v>
    <v>CONSTRUTORA TENDA S/A</v>
    <v>CONSTRUTORA TENDA S/A</v>
    <v>21.52</v>
    <v>22.09</v>
    <v>Rua Boa Vista, n 280 pavimentos 8 e 9, Centro, SAO PAULO, SAO PAULO, 01.014-908 BR</v>
    <v>Real Estate Operations</v>
    <v>TEND3</v>
    <v>Ações</v>
    <v>CONSTRUTORA TENDA S/A (BVMF:TEND3)</v>
    <v>0.79</v>
    <v>3.7088999999999997E-2</v>
    <v>2153400</v>
  </rv>
  <rv s="2">
    <v>356</v>
  </rv>
  <rv s="0">
    <v>https://creativecommons.org/licenses/by-sa/3.0</v>
    <v>CC BY-SA 3.0</v>
  </rv>
  <rv s="0">
    <v>http://en.wikipedia.org/wiki/Eletrobras</v>
    <v>Wikipedia</v>
  </rv>
  <rv s="10">
    <v>358</v>
    <v>359</v>
  </rv>
  <rv s="11">
    <v>25</v>
    <v>https://www.bing.com/th?id=AMMS_47d2a68313bf3c91f117037b98f07a39&amp;qlt=95</v>
    <v>360</v>
    <v>0</v>
    <v>https://www.bing.com/images/search?form=xlimg&amp;q=eletrobras</v>
    <v>Image of CENTRAIS ELETRICAS BRASILEIRAS SA ELETROBRAS</v>
  </rv>
  <rv s="0">
    <v>https://www.bing.com/financeapi/forcetrigger?t=apmh3m&amp;q=BVMF%3aELET3&amp;form=skydnc</v>
    <v>Learn more on Bing</v>
  </rv>
  <rv s="12">
    <v>pt-BR</v>
    <v>apmh3m</v>
    <v>268435456</v>
    <v>1</v>
    <v>Da plataforma Refinitiv</v>
    <v>20</v>
    <v>21</v>
    <v>CENTRAIS ELETRICAS BRASILEIRAS SA ELETROBRAS (BVMF:ELET3)</v>
    <v>23</v>
    <v>24</v>
    <v>Finance</v>
    <v>5</v>
    <v>44.49</v>
    <v>31.93</v>
    <v>BVMF</v>
    <v>2307100000</v>
    <v>38.549999999999997</v>
    <v>1962</v>
    <v>37.590000000000003</v>
    <v>0.80659999999999998</v>
    <v>B3 - Brazil Stock Exchange</v>
    <v>88280300000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37.81</v>
    <v>7710</v>
    <v>45870.958333333336</v>
    <v>361</v>
    <v>362</v>
    <v>1048660</v>
    <v>BRL</v>
    <v>CENTRAIS ELETRICAS BRASILEIRAS SA ELETROBRAS</v>
    <v>CENTRAIS ELETRICAS BRASILEIRAS SA ELETROBRAS</v>
    <v>38.03</v>
    <v>37.880000000000003</v>
    <v>Rua da Quitanda, 196, Lj A, Centro, RIO DE JANEIRO, RIO DE JANEIRO, 20.091-005 BR</v>
    <v>Electrical Utilities &amp; IPPs</v>
    <v>ELET3</v>
    <v>Ações</v>
    <v>CENTRAIS ELETRICAS BRASILEIRAS SA ELETROBRAS (BVMF:ELET3)</v>
    <v>7.0000000000000007E-2</v>
    <v>1.8509999999999998E-3</v>
    <v>4645900</v>
  </rv>
  <rv s="2">
    <v>363</v>
  </rv>
  <rv s="0">
    <v>https://www.bing.com/financeapi/forcetrigger?t=apnlu2&amp;q=BVMF%3aWIZS3&amp;form=skydnc</v>
    <v>Learn more on Bing</v>
  </rv>
  <rv s="8">
    <v>pt-BR</v>
    <v>apnlu2</v>
    <v>268435456</v>
    <v>1</v>
    <v>Da plataforma Refinitiv</v>
    <v>14</v>
    <v>15</v>
    <v>Wiz Co Participações e Corretagem de Seguros S.A. (BVMF:WIZC3)</v>
    <v>12</v>
    <v>16</v>
    <v>Finance</v>
    <v>5</v>
    <v>8.23</v>
    <v>4.9000000000000004</v>
    <v>BVMF</v>
    <v>159907300</v>
    <v>7.6</v>
    <v>1973</v>
    <v>7.38</v>
    <v>1.1301000000000001</v>
    <v>B3 - Brazil Stock Exchange</v>
    <v>1189710000</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7.52</v>
    <v>1635</v>
    <v>45870.958333333336</v>
    <v>365</v>
    <v>319350</v>
    <v>BRL</v>
    <v>Wiz Co Participações e Corretagem de Seguros S.A.</v>
    <v>Wiz Co Participações e Corretagem de Seguros S.A.</v>
    <v>7.53</v>
    <v>7.44</v>
    <v>Setor Comercial Norte, Quadra 02, Bloco D, Ed. Liberty Mall, Entrada B, Sala 1301, Asa Norte, BRASILIA, DISTRITO FEDERAL, 70.712-903 BR</v>
    <v>Insurance</v>
    <v>WIZC3</v>
    <v>Ações</v>
    <v>Wiz Co Participações e Corretagem de Seguros S.A. (BVMF:WIZC3)</v>
    <v>-0.08</v>
    <v>-1.0638000000000002E-2</v>
    <v>333500</v>
  </rv>
  <rv s="2">
    <v>366</v>
  </rv>
  <rv s="0">
    <v>https://www.bing.com/financeapi/forcetrigger?t=apnb8m&amp;q=BVMF%3aSAPR4&amp;form=skydnc</v>
    <v>Learn more on Bing</v>
  </rv>
  <rv s="8">
    <v>pt-BR</v>
    <v>apnb8m</v>
    <v>268435456</v>
    <v>1</v>
    <v>Da plataforma Refinitiv</v>
    <v>14</v>
    <v>15</v>
    <v>Companhia de Saneamento do Paraná - Sanepar (BVMF:SAPR4)</v>
    <v>12</v>
    <v>16</v>
    <v>Finance</v>
    <v>5</v>
    <v>7.45</v>
    <v>4.82</v>
    <v>BVMF</v>
    <v>1511206000</v>
    <v>6.69</v>
    <v>1963</v>
    <v>6.57</v>
    <v>0.61319999999999997</v>
    <v>B3 - Brazil Stock Exchange</v>
    <v>10386970000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6.61</v>
    <v>6047</v>
    <v>45870.958333333336</v>
    <v>368</v>
    <v>1032460</v>
    <v>BRL</v>
    <v>Companhia de Saneamento do Paraná - Sanepar</v>
    <v>Companhia de Saneamento do Paraná - Sanepar</v>
    <v>6.64</v>
    <v>6.58</v>
    <v>Rua Engenheiros Reboucas, 1376, Reboucas, CURITIBA, PARANA, 80.215-900 BR</v>
    <v>Water Utilities</v>
    <v>SAPR4</v>
    <v>Ações</v>
    <v>Companhia de Saneamento do Paraná - Sanepar (BVMF:SAPR4)</v>
    <v>-0.03</v>
    <v>-4.5390000000000005E-3</v>
    <v>1234500</v>
  </rv>
  <rv s="2">
    <v>369</v>
  </rv>
  <rv s="0">
    <v>https://www.bing.com/financeapi/forcetrigger?t=apn1fr&amp;q=BVMF%3aNTCO3&amp;form=skydnc</v>
    <v>Learn more on Bing</v>
  </rv>
  <rv s="8">
    <v>pt-BR</v>
    <v>apn1fr</v>
    <v>268435456</v>
    <v>1</v>
    <v>Da plataforma Refinitiv</v>
    <v>14</v>
    <v>15</v>
    <v>NATURA &amp;CO HOLDING S.A. (BVMF:NATU3)</v>
    <v>12</v>
    <v>16</v>
    <v>Finance</v>
    <v>5</v>
    <v>16.940000000000001</v>
    <v>8.91</v>
    <v>BVMF</v>
    <v>1374118000</v>
    <v>9.24</v>
    <v>2019</v>
    <v>8.91</v>
    <v>1.2029000000000001</v>
    <v>B3 - Brazil Stock Exchange</v>
    <v>12408280000</v>
    <v>ナチュラ・アンド・コー・ホールディング（Natura &amp;Co Holding SA）は、ブラジルを拠点とする美容会社で、ナチュラとエイボンのブランドを統合する。【事業内容】2つのセグメントを通じて事業を展開する。ナチュラコラタムはブラジルに3工場、メキシコに1工場、アルゼンチンに1工場の計5工場で化粧品を製造しており、エイボンインターナショナルはポーランドとロシアに2工場がある。ナチュラブランドのポートフォリオには、フレグランス、メーキャップ、ボディケア、フェイスケア製品、日焼け止め、デオドラント、ボディオイル、ヘアケア、ホームケア製品が含まれる。エイボンブランドのポートフォリオには、メーキャップ、フェイスケア、デイリーケア製品、フレグランス、ヘアケア、ホーム及びスタイル製品が含まれる。子会社は、Natura &amp;Co International Sarl や Natura Cosmeticos SA などがある。</v>
    <v>BVMF</v>
    <v>9.0299999999999994</v>
    <v>1709</v>
    <v>45870.958333333336</v>
    <v>371</v>
    <v>4680890</v>
    <v>BRL</v>
    <v>NATURA &amp;CO HOLDING S.A.</v>
    <v>NATURA &amp;CO HOLDING S.A.</v>
    <v>9.19</v>
    <v>8.91</v>
    <v>Av Alexandre Colares 1188 Sala A17 Bloco A, Parque Anhanguera, SAO PAULO, SAO PAULO, 05.106-000 BR</v>
    <v>Personal &amp; Household Products &amp; Services</v>
    <v>NATU3</v>
    <v>Ações</v>
    <v>NATURA &amp;CO HOLDING S.A. (BVMF:NATU3)</v>
    <v>-0.12</v>
    <v>-1.3289E-2</v>
    <v>4320600</v>
  </rv>
  <rv s="2">
    <v>372</v>
  </rv>
  <rv s="0">
    <v>https://www.bing.com/financeapi/forcetrigger?t=apmjar&amp;q=BVMF%3aEVEN3&amp;form=skydnc</v>
    <v>Learn more on Bing</v>
  </rv>
  <rv s="9">
    <v>pt-BR</v>
    <v>apmjar</v>
    <v>268435456</v>
    <v>1</v>
    <v>Da plataforma Refinitiv</v>
    <v>17</v>
    <v>18</v>
    <v>EVEN CONSTRUTORA E INCORPORADORA S.A. (BVMF:EVEN3)</v>
    <v>12</v>
    <v>19</v>
    <v>Finance</v>
    <v>5</v>
    <v>7.68</v>
    <v>5.26</v>
    <v>BVMF</v>
    <v>200000000</v>
    <v>7.19</v>
    <v>1980</v>
    <v>6.95</v>
    <v>1.4468000000000001</v>
    <v>B3 - Brazil Stock Exchange</v>
    <v>1390000000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6.95</v>
    <v>45870.958333333336</v>
    <v>374</v>
    <v>799150</v>
    <v>BRL</v>
    <v>EVEN CONSTRUTORA E INCORPORADORA S.A.</v>
    <v>EVEN CONSTRUTORA E INCORPORADORA S.A.</v>
    <v>6.99</v>
    <v>6.95</v>
    <v>Rua Hungria,1400, 2 andar, Jardim America, SAO PAULO, SAO PAULO, 01.455-000 BR</v>
    <v>Real Estate Operations</v>
    <v>EVEN3</v>
    <v>Ações</v>
    <v>EVEN CONSTRUTORA E INCORPORADORA S.A. (BVMF:EVEN3)</v>
    <v>0</v>
    <v>0</v>
    <v>936300</v>
  </rv>
  <rv s="2">
    <v>375</v>
  </rv>
  <rv s="0">
    <v>https://www.bing.com/financeapi/forcetrigger?t=apmsa2&amp;q=BVMF%3aITUB3&amp;form=skydnc</v>
    <v>Learn more on Bing</v>
  </rv>
  <rv s="8">
    <v>pt-BR</v>
    <v>apmsa2</v>
    <v>268435456</v>
    <v>1</v>
    <v>Da plataforma Refinitiv</v>
    <v>14</v>
    <v>15</v>
    <v>Itaú Unibanco Holding S.A. (BVMF:ITUB3)</v>
    <v>12</v>
    <v>16</v>
    <v>Finance</v>
    <v>5</v>
    <v>33.93</v>
    <v>22.4</v>
    <v>BVMF</v>
    <v>10784550000</v>
    <v>31.71</v>
    <v>1943</v>
    <v>31.06</v>
    <v>1.2478</v>
    <v>B3 - Brazil Stock Exchange</v>
    <v>356305900000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31.31</v>
    <v>100600</v>
    <v>45870.958333333336</v>
    <v>377</v>
    <v>16620300</v>
    <v>BRL</v>
    <v>Itaú Unibanco Holding S.A.</v>
    <v>Itaú Unibanco Holding S.A.</v>
    <v>31.6</v>
    <v>31.19</v>
    <v>Praca Alfredo Egydio de Souza Aranha, 100, T. Olavo Setubal, Piso Itau Unibanco, Parque Jabaquara, SAO PAULO, SAO PAULO, 04.344-902 BR</v>
    <v>Banking Services</v>
    <v>ITUB3</v>
    <v>Ações</v>
    <v>Itaú Unibanco Holding S.A. (BVMF:ITUB3)</v>
    <v>-0.12</v>
    <v>-3.8329999999999996E-3</v>
    <v>841000</v>
  </rv>
  <rv s="2">
    <v>378</v>
  </rv>
  <rv s="0">
    <v>https://www.bing.com/financeapi/forcetrigger?t=apninm&amp;q=BVMF%3aUCAS3&amp;form=skydnc</v>
    <v>Learn more on Bing</v>
  </rv>
  <rv s="8">
    <v>pt-BR</v>
    <v>apninm</v>
    <v>268435456</v>
    <v>1</v>
    <v>Da plataforma Refinitiv</v>
    <v>14</v>
    <v>15</v>
    <v>Unicasa Indústria de Móveis S/A (BVMF:UCAS3)</v>
    <v>12</v>
    <v>16</v>
    <v>Finance</v>
    <v>5</v>
    <v>2.2000000000000002</v>
    <v>1.36</v>
    <v>BVMF</v>
    <v>66086360</v>
    <v>1.42</v>
    <v>1985</v>
    <v>1.39</v>
    <v>0.42880000000000001</v>
    <v>B3 - Brazil Stock Exchange</v>
    <v>92520910</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1.41</v>
    <v>516</v>
    <v>45870.958333333336</v>
    <v>380</v>
    <v>21120</v>
    <v>BRL</v>
    <v>Unicasa Indústria de Móveis S/A</v>
    <v>Unicasa Indústria de Móveis S/A</v>
    <v>1.41</v>
    <v>1.4</v>
    <v>Rodovia Federal BR-470 Km 212,930, Sao Vendelino, BENTO GONCALVES, RIO GRANDE DO SUL, 95.707-540 BR</v>
    <v>Household Goods</v>
    <v>UCAS3</v>
    <v>Ações</v>
    <v>Unicasa Indústria de Móveis S/A (BVMF:UCAS3)</v>
    <v>-0.01</v>
    <v>-7.0920000000000002E-3</v>
    <v>4400</v>
  </rv>
  <rv s="2">
    <v>381</v>
  </rv>
  <rv s="0">
    <v>https://www.bing.com/financeapi/forcetrigger?t=apnjh7&amp;q=BVMF%3aUSIM5&amp;form=skydnc</v>
    <v>Learn more on Bing</v>
  </rv>
  <rv s="8">
    <v>pt-BR</v>
    <v>apnjh7</v>
    <v>268435456</v>
    <v>1</v>
    <v>Da plataforma Refinitiv</v>
    <v>14</v>
    <v>15</v>
    <v>Usinas Siderúrgicas de Minas Gerais S/A - USIMINAS (BVMF:USIM5)</v>
    <v>12</v>
    <v>16</v>
    <v>Finance</v>
    <v>5</v>
    <v>6.86</v>
    <v>3.9</v>
    <v>BVMF</v>
    <v>1253079000</v>
    <v>4.45</v>
    <v>1954</v>
    <v>4.33</v>
    <v>0.92459999999999998</v>
    <v>B3 - Brazil Stock Exchange</v>
    <v>5642303000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4.38</v>
    <v>51182</v>
    <v>45870.958333333336</v>
    <v>383</v>
    <v>19081220</v>
    <v>BRL</v>
    <v>Usinas Siderúrgicas de Minas Gerais S/A - USIMINAS</v>
    <v>Usinas Siderúrgicas de Minas Gerais S/A - USIMINAS</v>
    <v>4.45</v>
    <v>4.3899999999999997</v>
    <v>Avenida do Contorno, 6.594, Savassi, BELO HORIZONTE, MINAS GERAIS, 30.110-044 BR</v>
    <v>Metals &amp; Mining</v>
    <v>USIM5</v>
    <v>Ações</v>
    <v>Usinas Siderúrgicas de Minas Gerais S/A - USIMINAS (BVMF:USIM5)</v>
    <v>0.01</v>
    <v>2.2829999999999999E-3</v>
    <v>19711200</v>
  </rv>
  <rv s="2">
    <v>384</v>
  </rv>
  <rv s="0">
    <v>https://www.bing.com/financeapi/forcetrigger?t=bxf8h7&amp;q=BVMF%3aJALL3&amp;form=skydnc</v>
    <v>Learn more on Bing</v>
  </rv>
  <rv s="8">
    <v>pt-BR</v>
    <v>bxf8h7</v>
    <v>268435456</v>
    <v>1</v>
    <v>Da plataforma Refinitiv</v>
    <v>14</v>
    <v>15</v>
    <v>JALLES MACHADO S.A. (BVMF:JALL3)</v>
    <v>12</v>
    <v>16</v>
    <v>Finance</v>
    <v>5</v>
    <v>7.11</v>
    <v>3.2</v>
    <v>BVMF</v>
    <v>303541900</v>
    <v>3.43</v>
    <v>1980</v>
    <v>3.2</v>
    <v>0.41599999999999998</v>
    <v>B3 - Brazil Stock Exchange</v>
    <v>977404800</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3.4</v>
    <v>5384</v>
    <v>45870.958333333336</v>
    <v>386</v>
    <v>795490</v>
    <v>BRL</v>
    <v>JALLES MACHADO S.A.</v>
    <v>JALLES MACHADO S.A.</v>
    <v>3.39</v>
    <v>3.22</v>
    <v>Fazenda Sao Pedro - Rodovia GO-080 - Km 185, Zona Rural - Caixa Postal 04, GOIANESIA, GOIAS, 76.388-899 BR</v>
    <v>Food &amp; Tobacco</v>
    <v>JALL3</v>
    <v>Ações</v>
    <v>JALLES MACHADO S.A. (BVMF:JALL3)</v>
    <v>-0.18</v>
    <v>-5.2941000000000002E-2</v>
    <v>1938100</v>
  </rv>
  <rv s="2">
    <v>387</v>
  </rv>
  <rv s="0">
    <v>https://www.bing.com/financeapi/forcetrigger?t=apm3p2&amp;q=BVMF%3aBRAP4&amp;form=skydnc</v>
    <v>Learn more on Bing</v>
  </rv>
  <rv s="9">
    <v>pt-BR</v>
    <v>apm3p2</v>
    <v>268435456</v>
    <v>1</v>
    <v>Da plataforma Refinitiv</v>
    <v>17</v>
    <v>18</v>
    <v>Bradespar S.A (BVMF:BRAP4)</v>
    <v>12</v>
    <v>19</v>
    <v>Finance</v>
    <v>5</v>
    <v>18.52</v>
    <v>14.67</v>
    <v>BVMF</v>
    <v>393096600</v>
    <v>16.059999999999999</v>
    <v>2000</v>
    <v>15.63</v>
    <v>0.92410000000000003</v>
    <v>B3 - Brazil Stock Exchange</v>
    <v>5983408000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15.74</v>
    <v>45870.958333333336</v>
    <v>389</v>
    <v>3807720</v>
    <v>BRL</v>
    <v>Bradespar S.A</v>
    <v>Bradespar S.A</v>
    <v>15.94</v>
    <v>15.7</v>
    <v>Avenida Paulista, 1.450,9 andar, Cerqueira Cesar, SAO PAULO, SAO PAULO, 01.310-917 BR</v>
    <v>Metals &amp; Mining</v>
    <v>BRAP4</v>
    <v>Ações</v>
    <v>Bradespar S.A (BVMF:BRAP4)</v>
    <v>-0.04</v>
    <v>-2.5409999999999999E-3</v>
    <v>6439300</v>
  </rv>
  <rv s="2">
    <v>390</v>
  </rv>
  <rv s="0">
    <v>https://www.bing.com/financeapi/forcetrigger?t=apmclh&amp;q=BVMF%3aCSMG3&amp;form=skydnc</v>
    <v>Learn more on Bing</v>
  </rv>
  <rv s="8">
    <v>pt-BR</v>
    <v>apmclh</v>
    <v>268435456</v>
    <v>1</v>
    <v>Da plataforma Refinitiv</v>
    <v>14</v>
    <v>15</v>
    <v>Companhia de Saneamento de Minas Gerais - COPASA MG (BVMF:CSMG3)</v>
    <v>12</v>
    <v>16</v>
    <v>Finance</v>
    <v>5</v>
    <v>29</v>
    <v>18.760000000000002</v>
    <v>BVMF</v>
    <v>380253100</v>
    <v>26.1</v>
    <v>1963</v>
    <v>25.55</v>
    <v>0.89080000000000004</v>
    <v>B3 - Brazil Stock Exchange</v>
    <v>9821937000</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25.86</v>
    <v>10038</v>
    <v>45870.958333333336</v>
    <v>392</v>
    <v>2341650</v>
    <v>BRL</v>
    <v>Companhia de Saneamento de Minas Gerais - COPASA MG</v>
    <v>Companhia de Saneamento de Minas Gerais - COPASA MG</v>
    <v>25.93</v>
    <v>25.83</v>
    <v>Rua Mar de Espanha, 525, Santo Antonio, BELO HORIZONTE, MINAS GERAIS, 30.270-130 BR</v>
    <v>Water Utilities</v>
    <v>CSMG3</v>
    <v>Ações</v>
    <v>Companhia de Saneamento de Minas Gerais - COPASA MG (BVMF:CSMG3)</v>
    <v>-0.03</v>
    <v>-1.16E-3</v>
    <v>2129700</v>
  </rv>
  <rv s="2">
    <v>393</v>
  </rv>
  <rv s="0">
    <v>https://www.bing.com/financeapi/forcetrigger?t=apn9fr&amp;q=BVMF%3aRENT3&amp;form=skydnc</v>
    <v>Learn more on Bing</v>
  </rv>
  <rv s="8">
    <v>pt-BR</v>
    <v>apn9fr</v>
    <v>268435456</v>
    <v>1</v>
    <v>Da plataforma Refinitiv</v>
    <v>14</v>
    <v>15</v>
    <v>LOCALIZA RENT A CAR S.A. (BVMF:RENT3)</v>
    <v>12</v>
    <v>16</v>
    <v>Finance</v>
    <v>5</v>
    <v>47.86</v>
    <v>26.04</v>
    <v>BVMF</v>
    <v>1082621000</v>
    <v>36.01</v>
    <v>1973</v>
    <v>34.04</v>
    <v>1.2055</v>
    <v>B3 - Brazil Stock Exchange</v>
    <v>37209680000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34.630000000000003</v>
    <v>22134</v>
    <v>45870.958333333336</v>
    <v>395</v>
    <v>5628680</v>
    <v>BRL</v>
    <v>LOCALIZA RENT A CAR S.A.</v>
    <v>LOCALIZA RENT A CAR S.A.</v>
    <v>35.369999999999997</v>
    <v>34.369999999999997</v>
    <v>Avenida Bernardo de Vasconcelos,377, Cachoeirinha, BELO HORIZONTE, MINAS GERAIS, 31.150-000 BR</v>
    <v>Passenger Transportation Services</v>
    <v>RENT3</v>
    <v>Ações</v>
    <v>LOCALIZA RENT A CAR S.A. (BVMF:RENT3)</v>
    <v>-0.26</v>
    <v>-7.5079999999999999E-3</v>
    <v>9470000</v>
  </rv>
  <rv s="2">
    <v>396</v>
  </rv>
  <rv s="0">
    <v>https://www.bing.com/financeapi/forcetrigger?t=apn8dm&amp;q=BVMF%3aRAPT4&amp;form=skydnc</v>
    <v>Learn more on Bing</v>
  </rv>
  <rv s="8">
    <v>pt-BR</v>
    <v>apn8dm</v>
    <v>268435456</v>
    <v>1</v>
    <v>Da plataforma Refinitiv</v>
    <v>14</v>
    <v>15</v>
    <v>RANDONCORP S.A. (BVMF:RAPT4)</v>
    <v>12</v>
    <v>16</v>
    <v>Finance</v>
    <v>5</v>
    <v>11.51</v>
    <v>6.73</v>
    <v>BVMF</v>
    <v>355608600</v>
    <v>7.3</v>
    <v>1992</v>
    <v>7.13</v>
    <v>0.82569999999999999</v>
    <v>B3 - Brazil Stock Exchange</v>
    <v>2510632000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7.11</v>
    <v>6413</v>
    <v>45870.958333333336</v>
    <v>398</v>
    <v>4732770</v>
    <v>BRL</v>
    <v>RANDONCORP S.A.</v>
    <v>RANDONCORP S.A.</v>
    <v>7.15</v>
    <v>7.15</v>
    <v>Av. Abramo Randon, 770, Interlagos, CAXIAS DO SUL, RIO GRANDE DO SUL, 95.055-010 BR</v>
    <v>Automobiles &amp; Auto Parts</v>
    <v>RAPT4</v>
    <v>Ações</v>
    <v>RANDONCORP S.A. (BVMF:RAPT4)</v>
    <v>0.04</v>
    <v>5.6259999999999999E-3</v>
    <v>3807600</v>
  </rv>
  <rv s="2">
    <v>399</v>
  </rv>
  <rv s="0">
    <v>https://www.bing.com/financeapi/forcetrigger?t=apn8ar&amp;q=BVMF%3aRAPT3&amp;form=skydnc</v>
    <v>Learn more on Bing</v>
  </rv>
  <rv s="8">
    <v>pt-BR</v>
    <v>apn8ar</v>
    <v>268435456</v>
    <v>1</v>
    <v>Da plataforma Refinitiv</v>
    <v>14</v>
    <v>15</v>
    <v>RANDONCORP S.A. (BVMF:RAPT3)</v>
    <v>12</v>
    <v>16</v>
    <v>Finance</v>
    <v>5</v>
    <v>9.8800000000000008</v>
    <v>6.7</v>
    <v>BVMF</v>
    <v>355608600</v>
    <v>6.99</v>
    <v>1992</v>
    <v>6.87</v>
    <v>0.82569999999999999</v>
    <v>B3 - Brazil Stock Exchange</v>
    <v>2510632000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6.94</v>
    <v>6413</v>
    <v>45870.958333333336</v>
    <v>401</v>
    <v>4732770</v>
    <v>BRL</v>
    <v>RANDONCORP S.A.</v>
    <v>RANDONCORP S.A.</v>
    <v>6.95</v>
    <v>6.97</v>
    <v>Av. Abramo Randon, 770, Interlagos, CAXIAS DO SUL, RIO GRANDE DO SUL, 95.055-010 BR</v>
    <v>Automobiles &amp; Auto Parts</v>
    <v>RAPT3</v>
    <v>Ações</v>
    <v>RANDONCORP S.A. (BVMF:RAPT3)</v>
    <v>0.03</v>
    <v>4.3230000000000005E-3</v>
    <v>10400</v>
  </rv>
  <rv s="2">
    <v>402</v>
  </rv>
  <rv s="0">
    <v>https://www.bing.com/financeapi/forcetrigger?t=bxiaqh&amp;q=BVMF%3aMBLY3&amp;form=skydnc</v>
    <v>Learn more on Bing</v>
  </rv>
  <rv s="9">
    <v>pt-BR</v>
    <v>bxiaqh</v>
    <v>268435456</v>
    <v>1</v>
    <v>Da plataforma Refinitiv</v>
    <v>17</v>
    <v>18</v>
    <v>GRUPO TOKY S.A. (BVMF:TOKY3)</v>
    <v>12</v>
    <v>19</v>
    <v>Finance</v>
    <v>5</v>
    <v>3.3</v>
    <v>0.83</v>
    <v>BVMF</v>
    <v>122763400</v>
    <v>1.24</v>
    <v>2018</v>
    <v>1.1000000000000001</v>
    <v>1.4021999999999999</v>
    <v>B3 - Brazil Stock Exchange</v>
    <v>147316100</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1.1499999999999999</v>
    <v>45870.958333333336</v>
    <v>404</v>
    <v>704890</v>
    <v>BRL</v>
    <v>GRUPO TOKY S.A.</v>
    <v>GRUPO TOKY S.A.</v>
    <v>1.1299999999999999</v>
    <v>1.2</v>
    <v>Avenida das Nacoes Unidas, n 16.737, Mezanino sala 2, Varzea de Baixo, Sao Paulo, SAO PAULO, 04.730-090 BR</v>
    <v>Specialty Retailers</v>
    <v>TOKY3</v>
    <v>Ações</v>
    <v>GRUPO TOKY S.A. (BVMF:TOKY3)</v>
    <v>0.05</v>
    <v>4.3478000000000003E-2</v>
    <v>1479100</v>
  </rv>
  <rv s="2">
    <v>405</v>
  </rv>
  <rv s="0">
    <v>https://www.bing.com/financeapi/forcetrigger?t=apmo1h&amp;q=BVMF%3aGOAU4&amp;form=skydnc</v>
    <v>Learn more on Bing</v>
  </rv>
  <rv s="8">
    <v>pt-BR</v>
    <v>apmo1h</v>
    <v>268435456</v>
    <v>1</v>
    <v>Da plataforma Refinitiv</v>
    <v>14</v>
    <v>15</v>
    <v>METALURGICA GERDAU S.A. (BVMF:GOAU4)</v>
    <v>12</v>
    <v>16</v>
    <v>Finance</v>
    <v>5</v>
    <v>11.8</v>
    <v>7.6</v>
    <v>BVMF</v>
    <v>993705800</v>
    <v>9.4600000000000009</v>
    <v>1901</v>
    <v>8.93</v>
    <v>0.69350000000000001</v>
    <v>B3 - Brazil Stock Exchange</v>
    <v>8969927000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9.3699999999999992</v>
    <v>30000</v>
    <v>45870.958333333336</v>
    <v>407</v>
    <v>7844830</v>
    <v>BRL</v>
    <v>METALURGICA GERDAU S.A.</v>
    <v>METALURGICA GERDAU S.A.</v>
    <v>9.4499999999999993</v>
    <v>8.99</v>
    <v>Avenida Doutora Ruth Cardoso, 8.501,8 andar, Pinheiros, SAO PAULO, SAO PAULO, 05.425-070 BR</v>
    <v>Metals &amp; Mining</v>
    <v>GOAU4</v>
    <v>Ações</v>
    <v>METALURGICA GERDAU S.A. (BVMF:GOAU4)</v>
    <v>-0.38</v>
    <v>-4.0555000000000001E-2</v>
    <v>16258100</v>
  </rv>
  <rv s="2">
    <v>408</v>
  </rv>
  <rv s="4">
    <v>12</v>
    <v>Beta</v>
    <v>0</v>
  </rv>
  <rv s="0">
    <v>https://www.bing.com/financeapi/forcetrigger?t=apmfar&amp;q=BVMF%3aDOHL4&amp;form=skydnc</v>
    <v>Learn more on Bing</v>
  </rv>
  <rv s="15">
    <v>pt-BR</v>
    <v>apmfar</v>
    <v>268435456</v>
    <v>1</v>
    <v>Da plataforma Refinitiv</v>
    <v>32</v>
    <v>33</v>
    <v>DOHLER S.A. (BVMF:DOHL4)</v>
    <v>12</v>
    <v>34</v>
    <v>Finance</v>
    <v>5</v>
    <v>4.3899999999999997</v>
    <v>3.49</v>
    <v>BVMF</v>
    <v>75645290</v>
    <v>4.01</v>
    <v>1944</v>
    <v>4</v>
    <v>B3 - Brazil Stock Exchange</v>
    <v>438750700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4.29</v>
    <v>3000</v>
    <v>45870.958333333336</v>
    <v>411</v>
    <v>BRL</v>
    <v>DOHLER S.A.</v>
    <v>DOHLER S.A.</v>
    <v>4.01</v>
    <v>4</v>
    <v>Rua Arno Waldemar Dohler, 145, Zona Indl. Norte, JOINVILLE, SANTA CATARINA, 89.219-902 BR</v>
    <v>Textiles &amp; Apparel</v>
    <v>DOHL4</v>
    <v>Ações</v>
    <v>DOHLER S.A. (BVMF:DOHL4)</v>
    <v>-0.28999999999999998</v>
    <v>-6.7599000000000006E-2</v>
    <v>1200</v>
  </rv>
  <rv s="2">
    <v>412</v>
  </rv>
  <rv s="0">
    <v>https://www.bing.com/financeapi/forcetrigger?t=apm3ur&amp;q=BVMF%3aBRFS3&amp;form=skydnc</v>
    <v>Learn more on Bing</v>
  </rv>
  <rv s="8">
    <v>pt-BR</v>
    <v>apm3ur</v>
    <v>268435456</v>
    <v>1</v>
    <v>Da plataforma Refinitiv</v>
    <v>14</v>
    <v>15</v>
    <v>BRF S.A. (BVMF:BRFS3)</v>
    <v>12</v>
    <v>16</v>
    <v>Finance</v>
    <v>5</v>
    <v>28.87</v>
    <v>17.309999999999999</v>
    <v>BVMF</v>
    <v>1682473000</v>
    <v>21.55</v>
    <v>1934</v>
    <v>19.739999999999998</v>
    <v>1.5575000000000001</v>
    <v>B3 - Brazil Stock Exchange</v>
    <v>34187860000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20.05</v>
    <v>100000</v>
    <v>45870.958333333336</v>
    <v>414</v>
    <v>3956030</v>
    <v>BRL</v>
    <v>BRF S.A.</v>
    <v>BRF S.A.</v>
    <v>20.3</v>
    <v>20.32</v>
    <v>Av. Jorge Tzachel, 475, Fazenda, ITAJAI, SANTA CATARINA, 88.301-600 BR</v>
    <v>Food &amp; Tobacco</v>
    <v>BRFS3</v>
    <v>Ações</v>
    <v>BRF S.A. (BVMF:BRFS3)</v>
    <v>0.27</v>
    <v>1.3466000000000001E-2</v>
    <v>9661500</v>
  </rv>
  <rv s="2">
    <v>415</v>
  </rv>
  <rv s="0">
    <v>https://www.bing.com/financeapi/forcetrigger?t=bxmpim&amp;q=BVMF%3aINTB3&amp;form=skydnc</v>
    <v>Learn more on Bing</v>
  </rv>
  <rv s="9">
    <v>pt-BR</v>
    <v>bxmpim</v>
    <v>268435456</v>
    <v>1</v>
    <v>Da plataforma Refinitiv</v>
    <v>17</v>
    <v>18</v>
    <v>Intelbras S.A. Indústria de Telecomunicação Eletrônica Brasileira (BVMF:INTB3)</v>
    <v>12</v>
    <v>19</v>
    <v>Finance</v>
    <v>5</v>
    <v>22.84</v>
    <v>11.26</v>
    <v>BVMF</v>
    <v>327611100</v>
    <v>14.47</v>
    <v>1974</v>
    <v>13.99</v>
    <v>1.2666999999999999</v>
    <v>B3 - Brazil Stock Exchange</v>
    <v>4583279000</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14.13</v>
    <v>45870.958333333336</v>
    <v>417</v>
    <v>2450250</v>
    <v>BRL</v>
    <v>Intelbras S.A. Indústria de Telecomunicação Eletrônica Brasileira</v>
    <v>Intelbras S.A. Indústria de Telecomunicação Eletrônica Brasileira</v>
    <v>14.34</v>
    <v>13.99</v>
    <v>Rodovia BR 101 Km 210, Area Industrial, SAO JOSE, SANTA CATARINA, 88.104-800 BR</v>
    <v>Communications &amp; Networking</v>
    <v>INTB3</v>
    <v>Ações</v>
    <v>Intelbras S.A. Indústria de Telecomunicação Eletrônica Brasileira (BVMF:INTB3)</v>
    <v>-0.14000000000000001</v>
    <v>-9.9080000000000001E-3</v>
    <v>2790500</v>
  </rv>
  <rv s="2">
    <v>418</v>
  </rv>
  <rv s="0">
    <v>https://www.bing.com/financeapi/forcetrigger?t=c2ry1h&amp;q=BVMF%3aCBAV3&amp;form=skydnc</v>
    <v>Learn more on Bing</v>
  </rv>
  <rv s="8">
    <v>pt-BR</v>
    <v>c2ry1h</v>
    <v>268435456</v>
    <v>1</v>
    <v>Da plataforma Refinitiv</v>
    <v>14</v>
    <v>15</v>
    <v>Companhia Brasileira de Alumínio (BVMF:CBAV3)</v>
    <v>12</v>
    <v>16</v>
    <v>Finance</v>
    <v>5</v>
    <v>6.69</v>
    <v>3.6</v>
    <v>BVMF</v>
    <v>651072700</v>
    <v>4.76</v>
    <v>1941</v>
    <v>4.6399999999999997</v>
    <v>0.97470000000000001</v>
    <v>B3 - Brazil Stock Exchange</v>
    <v>3027488000</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4.68</v>
    <v>5811</v>
    <v>45870.958333333336</v>
    <v>420</v>
    <v>3936200</v>
    <v>BRL</v>
    <v>Companhia Brasileira de Alumínio</v>
    <v>Companhia Brasileira de Alumínio</v>
    <v>4.72</v>
    <v>4.6500000000000004</v>
    <v>Av. Luis Carlos Berrini, 105, 14 andar, Cidade Moncoes, SAO PAULO, SAO PAULO, 04.571-900 BR</v>
    <v>Metals &amp; Mining</v>
    <v>CBAV3</v>
    <v>Ações</v>
    <v>Companhia Brasileira de Alumínio (BVMF:CBAV3)</v>
    <v>-0.03</v>
    <v>-6.4099999999999999E-3</v>
    <v>1969600</v>
  </rv>
  <rv s="2">
    <v>421</v>
  </rv>
  <rv s="0">
    <v>https://www.bing.com/financeapi/forcetrigger?t=apmtz2&amp;q=BVMF%3aKLBN3&amp;form=skydnc</v>
    <v>Learn more on Bing</v>
  </rv>
  <rv s="8">
    <v>pt-BR</v>
    <v>apmtz2</v>
    <v>268435456</v>
    <v>1</v>
    <v>Da plataforma Refinitiv</v>
    <v>14</v>
    <v>15</v>
    <v>KLABIN S.A. (BVMF:KLBN3)</v>
    <v>12</v>
    <v>16</v>
    <v>Finance</v>
    <v>5</v>
    <v>4.92</v>
    <v>3.56</v>
    <v>BVMF</v>
    <v>1235936000</v>
    <v>3.81</v>
    <v>1978</v>
    <v>3.74</v>
    <v>0.41599999999999998</v>
    <v>B3 - Brazil Stock Exchange</v>
    <v>22654710000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3.77</v>
    <v>14207</v>
    <v>45870.958333333336</v>
    <v>423</v>
    <v>1890770</v>
    <v>BRL</v>
    <v>KLABIN S.A.</v>
    <v>KLABIN S.A.</v>
    <v>3.77</v>
    <v>3.75</v>
    <v>Avenida Brigadeiro Faria Lima, 3600, 3, 4 E 5 Andares, Itaim Bibi, SAO PAULO, SAO PAULO, 04.538-132 BR</v>
    <v>Containers &amp; Packaging</v>
    <v>KLBN3</v>
    <v>Ações</v>
    <v>KLABIN S.A. (BVMF:KLBN3)</v>
    <v>-0.02</v>
    <v>-5.3049999999999998E-3</v>
    <v>275000</v>
  </rv>
  <rv s="2">
    <v>424</v>
  </rv>
  <rv s="0">
    <v>https://www.bing.com/financeapi/forcetrigger?t=bwaq4c&amp;q=BVMF%3aGMAT3&amp;form=skydnc</v>
    <v>Learn more on Bing</v>
  </rv>
  <rv s="8">
    <v>pt-BR</v>
    <v>bwaq4c</v>
    <v>268435456</v>
    <v>1</v>
    <v>Da plataforma Refinitiv</v>
    <v>14</v>
    <v>15</v>
    <v>GRUPO MATEUS S.A. (BVMF:GMAT3)</v>
    <v>12</v>
    <v>16</v>
    <v>Finance</v>
    <v>5</v>
    <v>8.3800000000000008</v>
    <v>5.75</v>
    <v>BVMF</v>
    <v>2248470000</v>
    <v>7.47</v>
    <v>2016</v>
    <v>7.27</v>
    <v>1.3099000000000001</v>
    <v>B3 - Brazil Stock Exchange</v>
    <v>16571220000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7.33</v>
    <v>29668</v>
    <v>45870.958333333336</v>
    <v>426</v>
    <v>3394590</v>
    <v>BRL</v>
    <v>GRUPO MATEUS S.A.</v>
    <v>GRUPO MATEUS S.A.</v>
    <v>7.34</v>
    <v>7.37</v>
    <v>Av. Daniel de la Touche, 73A, Cohama, SAO LUIS, MARANHAO, 65.074-115 BR</v>
    <v>Food &amp; Drug Retailing</v>
    <v>GMAT3</v>
    <v>Ações</v>
    <v>GRUPO MATEUS S.A. (BVMF:GMAT3)</v>
    <v>0.04</v>
    <v>5.457E-3</v>
    <v>2987700</v>
  </rv>
  <rv s="2">
    <v>427</v>
  </rv>
  <rv s="0">
    <v>https://www.bing.com/financeapi/forcetrigger?t=apngxm&amp;q=BVMF%3aTIMS3&amp;form=skydnc</v>
    <v>Learn more on Bing</v>
  </rv>
  <rv s="8">
    <v>pt-BR</v>
    <v>apngxm</v>
    <v>268435456</v>
    <v>1</v>
    <v>Da plataforma Refinitiv</v>
    <v>14</v>
    <v>15</v>
    <v>TIM S.A. (BVMF:TIMS3)</v>
    <v>12</v>
    <v>16</v>
    <v>Finance</v>
    <v>5</v>
    <v>22.64</v>
    <v>12.73</v>
    <v>BVMF</v>
    <v>2420804000</v>
    <v>20.99</v>
    <v>1998</v>
    <v>20.52</v>
    <v>0.6673</v>
    <v>B3 - Brazil Stock Exchange</v>
    <v>50159070000</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20.71</v>
    <v>9127</v>
    <v>45870.958333333336</v>
    <v>429</v>
    <v>5297300</v>
    <v>BRL</v>
    <v>TIM S.A.</v>
    <v>TIM S.A.</v>
    <v>20.89</v>
    <v>20.72</v>
    <v>Av Joao Cabral De Mello Neto 00850 Blc 001 Salas 0501 A 1208, Barra Da Tijuca, RIO DE JANEIRO, RIO DE JANEIRO, 22.775-057 BR</v>
    <v>Telecommunications Services</v>
    <v>TIMS3</v>
    <v>Ações</v>
    <v>TIM S.A. (BVMF:TIMS3)</v>
    <v>0.01</v>
    <v>4.8289999999999997E-4</v>
    <v>4603400</v>
  </rv>
  <rv s="2">
    <v>430</v>
  </rv>
  <rv s="0">
    <v>https://www.bing.com/financeapi/forcetrigger?t=apm352&amp;q=BVMF%3aBPAC3&amp;form=skydnc</v>
    <v>Learn more on Bing</v>
  </rv>
  <rv s="8">
    <v>pt-BR</v>
    <v>apm352</v>
    <v>268435456</v>
    <v>1</v>
    <v>Da plataforma Refinitiv</v>
    <v>14</v>
    <v>15</v>
    <v>Banco BTG Pactual S.A. (BVMF:BPAC3)</v>
    <v>12</v>
    <v>16</v>
    <v>Finance</v>
    <v>5</v>
    <v>24.07</v>
    <v>13.16</v>
    <v>BVMF</v>
    <v>10108690000</v>
    <v>21.97</v>
    <v>1979</v>
    <v>21.17</v>
    <v>1.3745000000000001</v>
    <v>B3 - Brazil Stock Exchange</v>
    <v>177281500000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21.39</v>
    <v>4900</v>
    <v>45870.958333333336</v>
    <v>432</v>
    <v>7644320</v>
    <v>BRL</v>
    <v>Banco BTG Pactual S.A.</v>
    <v>Banco BTG Pactual S.A.</v>
    <v>21.97</v>
    <v>21.19</v>
    <v>Praia de Botafogo, 501, 5 e 6 andares, Botafogo, RIO DE JANEIRO, RIO DE JANEIRO, 22.250-040 BR</v>
    <v>Investment Banking &amp; Investment Services</v>
    <v>BPAC3</v>
    <v>Ações</v>
    <v>Banco BTG Pactual S.A. (BVMF:BPAC3)</v>
    <v>-0.2</v>
    <v>-9.3500000000000007E-3</v>
    <v>2700</v>
  </rv>
  <rv s="2">
    <v>433</v>
  </rv>
  <rv s="0">
    <v>https://www.bing.com/financeapi/forcetrigger?t=bsfxec&amp;q=BVMF%3aVIVA3&amp;form=skydnc</v>
    <v>Learn more on Bing</v>
  </rv>
  <rv s="8">
    <v>pt-BR</v>
    <v>bsfxec</v>
    <v>268435456</v>
    <v>1</v>
    <v>Da plataforma Refinitiv</v>
    <v>14</v>
    <v>15</v>
    <v>Vivara Participações S.A. (BVMF:VIVA3)</v>
    <v>12</v>
    <v>16</v>
    <v>Finance</v>
    <v>5</v>
    <v>28.31</v>
    <v>15.76</v>
    <v>BVMF</v>
    <v>236197800</v>
    <v>26.31</v>
    <v>2019</v>
    <v>25.58</v>
    <v>1.4478</v>
    <v>B3 - Brazil Stock Exchange</v>
    <v>6075007000</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25.42</v>
    <v>6216</v>
    <v>45870.958333333336</v>
    <v>435</v>
    <v>3503080</v>
    <v>BRL</v>
    <v>Vivara Participações S.A.</v>
    <v>Vivara Participações S.A.</v>
    <v>25.58</v>
    <v>25.72</v>
    <v>Rua Arquiteto Olavo Redig de Campos, 105 -15 andar, Chacara Santo Antonio, Sao Paulo, SAO PAULO, 04.709-000 BR</v>
    <v>Specialty Retailers</v>
    <v>VIVA3</v>
    <v>Ações</v>
    <v>Vivara Participações S.A. (BVMF:VIVA3)</v>
    <v>0.3</v>
    <v>1.1802E-2</v>
    <v>3044600</v>
  </rv>
  <rv s="2">
    <v>436</v>
  </rv>
  <rv s="0">
    <v>https://www.bing.com/financeapi/forcetrigger?t=boezz2&amp;q=BVMF%3aLOGG3&amp;form=skydnc</v>
    <v>Learn more on Bing</v>
  </rv>
  <rv s="14">
    <v>pt-BR</v>
    <v>boezz2</v>
    <v>268435456</v>
    <v>1</v>
    <v>Da plataforma Refinitiv</v>
    <v>29</v>
    <v>30</v>
    <v>Log Commercial Properties e Participações S/A (BVMF:LOGG3)</v>
    <v>12</v>
    <v>31</v>
    <v>Finance</v>
    <v>5</v>
    <v>22.66</v>
    <v>15.82</v>
    <v>BVMF</v>
    <v>87859150</v>
    <v>21.23</v>
    <v>20.420000000000002</v>
    <v>1.1114999999999999</v>
    <v>B3 - Brazil Stock Exchange</v>
    <v>1794084000</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21.03</v>
    <v>45870.958333333336</v>
    <v>438</v>
    <v>257940</v>
    <v>BRL</v>
    <v>Log Commercial Properties e Participações S/A</v>
    <v>Log Commercial Properties e Participações S/A</v>
    <v>21.23</v>
    <v>20.420000000000002</v>
    <v>Av. Professor Mario Werneck, n 621, 10 andar, BH/MG, Conjunto 02, Estoril, BELO HORIZONTE, MINAS GERAIS, 30.455-610 BR</v>
    <v>Real Estate Operations</v>
    <v>LOGG3</v>
    <v>Ações</v>
    <v>Log Commercial Properties e Participações S/A (BVMF:LOGG3)</v>
    <v>-0.61</v>
    <v>-2.9005999999999997E-2</v>
    <v>393800</v>
  </rv>
  <rv s="2">
    <v>439</v>
  </rv>
  <rv s="0">
    <v>https://www.bing.com/financeapi/forcetrigger?t=apn7pr&amp;q=BVMF%3aQUAL3&amp;form=skydnc</v>
    <v>Learn more on Bing</v>
  </rv>
  <rv s="8">
    <v>pt-BR</v>
    <v>apn7pr</v>
    <v>268435456</v>
    <v>1</v>
    <v>Da plataforma Refinitiv</v>
    <v>14</v>
    <v>15</v>
    <v>QUALICORP CONSULTORIA E CORRETORA DE SEGUROS S.A. (BVMF:QUAL3)</v>
    <v>12</v>
    <v>16</v>
    <v>Finance</v>
    <v>5</v>
    <v>2.74</v>
    <v>1.37</v>
    <v>BVMF</v>
    <v>284014300</v>
    <v>1.74</v>
    <v>2010</v>
    <v>1.63</v>
    <v>1.4719</v>
    <v>B3 - Brazil Stock Exchange</v>
    <v>465783500</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1.63</v>
    <v>1558</v>
    <v>45870.958333333336</v>
    <v>441</v>
    <v>1567990</v>
    <v>BRL</v>
    <v>QUALICORP CONSULTORIA E CORRETORA DE SEGUROS S.A.</v>
    <v>QUALICORP CONSULTORIA E CORRETORA DE SEGUROS S.A.</v>
    <v>1.64</v>
    <v>1.64</v>
    <v>Avenida Paulista, 4753 andar - parte, Bela Vista, SAO PAULO, SAO PAULO, 01.311-000 BR</v>
    <v>Insurance</v>
    <v>QUAL3</v>
    <v>Ações</v>
    <v>QUALICORP CONSULTORIA E CORRETORA DE SEGUROS S.A. (BVMF:QUAL3)</v>
    <v>0.01</v>
    <v>6.1350000000000007E-3</v>
    <v>2963700</v>
  </rv>
  <rv s="2">
    <v>442</v>
  </rv>
  <rv s="0">
    <v>https://www.bing.com/financeapi/forcetrigger?t=apn54c&amp;q=BVMF%3aPNVL3&amp;form=skydnc</v>
    <v>Learn more on Bing</v>
  </rv>
  <rv s="8">
    <v>pt-BR</v>
    <v>apn54c</v>
    <v>268435456</v>
    <v>1</v>
    <v>Da plataforma Refinitiv</v>
    <v>14</v>
    <v>15</v>
    <v>DIMED S.A. DISTRIBUIDORA DE MEDICAMENTOS (BVMF:PNVL3)</v>
    <v>12</v>
    <v>16</v>
    <v>Finance</v>
    <v>5</v>
    <v>10.76</v>
    <v>7.68</v>
    <v>BVMF</v>
    <v>150377500</v>
    <v>9.44</v>
    <v>1920</v>
    <v>9.1</v>
    <v>1.1771</v>
    <v>B3 - Brazil Stock Exchange</v>
    <v>1371443000</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9.1</v>
    <v>10698</v>
    <v>45870.958333333336</v>
    <v>444</v>
    <v>302160</v>
    <v>BRL</v>
    <v>DIMED S.A. DISTRIBUIDORA DE MEDICAMENTOS</v>
    <v>DIMED S.A. DISTRIBUIDORA DE MEDICAMENTOS</v>
    <v>9.1</v>
    <v>9.1199999999999992</v>
    <v>Avenida Industrial Belgraff, 865, Predio 100, Industrial, ELDORADO DO SUL, RIO GRANDE DO SUL, 92.990-000 BR</v>
    <v>Food &amp; Drug Retailing</v>
    <v>PNVL3</v>
    <v>Ações</v>
    <v>DIMED S.A. DISTRIBUIDORA DE MEDICAMENTOS (BVMF:PNVL3)</v>
    <v>0.02</v>
    <v>2.1979999999999999E-3</v>
    <v>463600</v>
  </rv>
  <rv s="2">
    <v>445</v>
  </rv>
  <rv s="16">
    <v>pt-BR</v>
    <v>cg99rw</v>
    <v>268435456</v>
    <v>1</v>
    <v>Da plataforma Refinitiv</v>
    <v>35</v>
    <v>36</v>
    <v>Brompton Split Corp. Cl A ETF (NEOE:CLSA)</v>
    <v>37</v>
    <v>38</v>
    <v>Finance</v>
    <v>39</v>
    <v>11.44</v>
    <v>8.83</v>
    <v>NEOE</v>
    <v>11.09</v>
    <v>11.09</v>
    <v>NEO Exchange</v>
    <v>6405862</v>
    <v>11.324999999999999</v>
    <v>45870.606753344531</v>
    <v>CAD</v>
    <v>Brompton Split Corp. Cl A ETF</v>
    <v>11.09</v>
    <v>11.09</v>
    <v>CLSA</v>
    <v>Fundos mais negociados</v>
    <v>Brompton Split Corp. Cl A ETF (NEOE:CLSA)</v>
    <v>-0.23499999999999999</v>
    <v>-2.0750999999999999E-2</v>
    <v>5000</v>
  </rv>
  <rv s="2">
    <v>447</v>
  </rv>
  <rv s="4">
    <v>12</v>
    <v>Ações em circulação</v>
    <v>0</v>
  </rv>
  <rv s="6">
    <v>12</v>
    <v>1</v>
  </rv>
  <rv s="0">
    <v>https://www.bing.com/financeapi/forcetrigger?t=apmu2w&amp;q=BVMF%3aKLBN4&amp;form=skydnc</v>
    <v>Learn more on Bing</v>
  </rv>
  <rv s="8">
    <v>pt-BR</v>
    <v>apmu2w</v>
    <v>268435456</v>
    <v>1</v>
    <v>Da plataforma Refinitiv</v>
    <v>14</v>
    <v>15</v>
    <v>KLABIN S.A. (BVMF:KLBN4)</v>
    <v>12</v>
    <v>16</v>
    <v>Finance</v>
    <v>5</v>
    <v>4.6900000000000004</v>
    <v>3.48</v>
    <v>BVMF</v>
    <v>1235936000</v>
    <v>3.72</v>
    <v>1978</v>
    <v>3.64</v>
    <v>0.41599999999999998</v>
    <v>B3 - Brazil Stock Exchange</v>
    <v>22654710000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3.68</v>
    <v>14207</v>
    <v>45870.958333333336</v>
    <v>451</v>
    <v>1890770</v>
    <v>BRL</v>
    <v>KLABIN S.A.</v>
    <v>KLABIN S.A.</v>
    <v>3.69</v>
    <v>3.64</v>
    <v>Avenida Brigadeiro Faria Lima, 3600, 3, 4 E 5 Andares, Itaim Bibi, SAO PAULO, SAO PAULO, 04.538-132 BR</v>
    <v>Containers &amp; Packaging</v>
    <v>KLBN4</v>
    <v>Ações</v>
    <v>KLABIN S.A. (BVMF:KLBN4)</v>
    <v>-0.04</v>
    <v>-1.0869999999999999E-2</v>
    <v>2671200</v>
  </rv>
  <rv s="2">
    <v>452</v>
  </rv>
  <rv s="0">
    <v>https://www.bing.com/financeapi/forcetrigger?t=apm37w&amp;q=BVMF%3aBPAC5&amp;form=skydnc</v>
    <v>Learn more on Bing</v>
  </rv>
  <rv s="8">
    <v>pt-BR</v>
    <v>apm37w</v>
    <v>268435456</v>
    <v>1</v>
    <v>Da plataforma Refinitiv</v>
    <v>14</v>
    <v>15</v>
    <v>Banco BTG Pactual S.A. (BVMF:BPAC5)</v>
    <v>12</v>
    <v>16</v>
    <v>Finance</v>
    <v>5</v>
    <v>9.68</v>
    <v>6.72</v>
    <v>BVMF</v>
    <v>10108690000</v>
    <v>8.92</v>
    <v>1979</v>
    <v>8.7799999999999994</v>
    <v>1.3745000000000001</v>
    <v>B3 - Brazil Stock Exchange</v>
    <v>177281500000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8.7100000000000009</v>
    <v>4900</v>
    <v>45870.958333333336</v>
    <v>454</v>
    <v>7644320</v>
    <v>BRL</v>
    <v>Banco BTG Pactual S.A.</v>
    <v>Banco BTG Pactual S.A.</v>
    <v>8.8800000000000008</v>
    <v>8.8699999999999992</v>
    <v>Praia de Botafogo, 501, 5 e 6 andares, Botafogo, RIO DE JANEIRO, RIO DE JANEIRO, 22.250-040 BR</v>
    <v>Investment Banking &amp; Investment Services</v>
    <v>BPAC5</v>
    <v>Ações</v>
    <v>Banco BTG Pactual S.A. (BVMF:BPAC5)</v>
    <v>0.16</v>
    <v>1.8370000000000001E-2</v>
    <v>700</v>
  </rv>
  <rv s="2">
    <v>455</v>
  </rv>
  <rv s="0">
    <v>https://www.bing.com/financeapi/forcetrigger?t=apmeyc&amp;q=BVMF%3aDIRR3&amp;form=skydnc</v>
    <v>Learn more on Bing</v>
  </rv>
  <rv s="8">
    <v>pt-BR</v>
    <v>apmeyc</v>
    <v>268435456</v>
    <v>1</v>
    <v>Da plataforma Refinitiv</v>
    <v>14</v>
    <v>15</v>
    <v>DIRECIONAL ENGENHARIA S.A. (BVMF:DIRR3)</v>
    <v>12</v>
    <v>16</v>
    <v>Finance</v>
    <v>5</v>
    <v>41.5</v>
    <v>22.75</v>
    <v>BVMF</v>
    <v>173500000</v>
    <v>40.44</v>
    <v>1981</v>
    <v>39.15</v>
    <v>1.032</v>
    <v>B3 - Brazil Stock Exchange</v>
    <v>6804670000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38.99</v>
    <v>745</v>
    <v>45870.958333333336</v>
    <v>457</v>
    <v>1565000</v>
    <v>BRL</v>
    <v>DIRECIONAL ENGENHARIA S.A.</v>
    <v>DIRECIONAL ENGENHARIA S.A.</v>
    <v>39.4</v>
    <v>39.22</v>
    <v>Rua dos Otoni, 177, Santa Efigenia, BELO HORIZONTE, MINAS GERAIS, 30.150-270 BR</v>
    <v>Real Estate Operations</v>
    <v>DIRR3</v>
    <v>Ações</v>
    <v>DIRECIONAL ENGENHARIA S.A. (BVMF:DIRR3)</v>
    <v>0.23</v>
    <v>5.8989999999999997E-3</v>
    <v>2052700</v>
  </rv>
  <rv s="2">
    <v>458</v>
  </rv>
  <rv s="0">
    <v>https://www.bing.com/financeapi/forcetrigger?t=apn177&amp;q=BVMF%3aMYPK3&amp;form=skydnc</v>
    <v>Learn more on Bing</v>
  </rv>
  <rv s="8">
    <v>pt-BR</v>
    <v>apn177</v>
    <v>268435456</v>
    <v>1</v>
    <v>Da plataforma Refinitiv</v>
    <v>14</v>
    <v>15</v>
    <v>IOCHPE-MAXION S.A. (BVMF:MYPK3)</v>
    <v>12</v>
    <v>16</v>
    <v>Finance</v>
    <v>5</v>
    <v>14.62</v>
    <v>9.7200000000000006</v>
    <v>BVMF</v>
    <v>153719600</v>
    <v>14.62</v>
    <v>1940</v>
    <v>14.36</v>
    <v>0.38629999999999998</v>
    <v>B3 - Brazil Stock Exchange</v>
    <v>2210488000</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14.58</v>
    <v>17000</v>
    <v>45870.958333333336</v>
    <v>460</v>
    <v>978840</v>
    <v>BRL</v>
    <v>IOCHPE-MAXION S.A.</v>
    <v>IOCHPE-MAXION S.A.</v>
    <v>14.6</v>
    <v>14.38</v>
    <v>Rua Othon Barcellos, n 83, Itagacaba, CRUZEIRO, SAO PAULO, 12.730-900 BR</v>
    <v>Automobiles &amp; Auto Parts</v>
    <v>MYPK3</v>
    <v>Ações</v>
    <v>IOCHPE-MAXION S.A. (BVMF:MYPK3)</v>
    <v>-0.2</v>
    <v>-1.3717E-2</v>
    <v>1112600</v>
  </rv>
  <rv s="2">
    <v>461</v>
  </rv>
  <rv s="0">
    <v>https://www.bing.com/financeapi/forcetrigger?t=bwukvh&amp;q=BVMF%3aRDOR3&amp;form=skydnc</v>
    <v>Learn more on Bing</v>
  </rv>
  <rv s="8">
    <v>pt-BR</v>
    <v>bwukvh</v>
    <v>268435456</v>
    <v>1</v>
    <v>Da plataforma Refinitiv</v>
    <v>14</v>
    <v>15</v>
    <v>Rede D'Or São Luiz S.A. (BVMF:RDOR3)</v>
    <v>12</v>
    <v>16</v>
    <v>Finance</v>
    <v>5</v>
    <v>38.049999999999997</v>
    <v>24.47</v>
    <v>BVMF</v>
    <v>2289292000</v>
    <v>33.31</v>
    <v>2003</v>
    <v>32.33</v>
    <v>1.5201</v>
    <v>B3 - Brazil Stock Exchange</v>
    <v>74173080000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32.5</v>
    <v>71000</v>
    <v>45870.958333333336</v>
    <v>463</v>
    <v>3254370</v>
    <v>BRL</v>
    <v>Rede D'Or São Luiz S.A.</v>
    <v>Rede D'Or São Luiz S.A.</v>
    <v>33.130000000000003</v>
    <v>32.4</v>
    <v>Rua Francisco Marengo, n 1.312, Tatuape, SAO PAULO, SAO PAULO, 03.313-000 BR</v>
    <v>Healthcare Providers &amp; Services</v>
    <v>RDOR3</v>
    <v>Ações</v>
    <v>Rede D'Or São Luiz S.A. (BVMF:RDOR3)</v>
    <v>-0.1</v>
    <v>-3.0769999999999999E-3</v>
    <v>3804600</v>
  </rv>
  <rv s="2">
    <v>464</v>
  </rv>
  <rv s="0">
    <v>https://www.bing.com/financeapi/forcetrigger?t=apnkdm&amp;q=BVMF%3aVIVT3&amp;form=skydnc</v>
    <v>Learn more on Bing</v>
  </rv>
  <rv s="8">
    <v>pt-BR</v>
    <v>apnkdm</v>
    <v>268435456</v>
    <v>1</v>
    <v>Da plataforma Refinitiv</v>
    <v>14</v>
    <v>15</v>
    <v>TELEFÔNICA BRASIL S.A (BVMF:VIVT3)</v>
    <v>12</v>
    <v>16</v>
    <v>Finance</v>
    <v>5</v>
    <v>32.659999999999997</v>
    <v>22.18</v>
    <v>BVMF</v>
    <v>3226547000</v>
    <v>31.75</v>
    <v>1998</v>
    <v>31.24</v>
    <v>0.54159999999999997</v>
    <v>B3 - Brazil Stock Exchange</v>
    <v>101894300000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31.48</v>
    <v>33000</v>
    <v>45870.958333333336</v>
    <v>466</v>
    <v>5522090</v>
    <v>BRL</v>
    <v>TELEFÔNICA BRASIL S.A</v>
    <v>TELEFÔNICA BRASIL S.A</v>
    <v>31.64</v>
    <v>31.58</v>
    <v>Av Engenheiro Luis Carlos Berrini, 1376 32 andar, Cidade Moncoes, SAO PAULO, SAO PAULO, 04.571-936 BR</v>
    <v>Telecommunications Services</v>
    <v>VIVT3</v>
    <v>Ações</v>
    <v>TELEFÔNICA BRASIL S.A (BVMF:VIVT3)</v>
    <v>0.1</v>
    <v>3.1769999999999997E-3</v>
    <v>3551200</v>
  </rv>
  <rv s="2">
    <v>467</v>
  </rv>
  <rv s="0">
    <v>https://www.bing.com/financeapi/forcetrigger?t=bvgm3m&amp;q=BVMF%3aPGMN3&amp;form=skydnc</v>
    <v>Learn more on Bing</v>
  </rv>
  <rv s="8">
    <v>pt-BR</v>
    <v>bvgm3m</v>
    <v>268435456</v>
    <v>1</v>
    <v>Da plataforma Refinitiv</v>
    <v>14</v>
    <v>15</v>
    <v>Empreendimentos Pague Menos S.A. (BVMF:PGMN3)</v>
    <v>12</v>
    <v>16</v>
    <v>Finance</v>
    <v>5</v>
    <v>3.99</v>
    <v>2.27</v>
    <v>BVMF</v>
    <v>622672700</v>
    <v>3.99</v>
    <v>1981</v>
    <v>3.84</v>
    <v>1.2605999999999999</v>
    <v>B3 - Brazil Stock Exchange</v>
    <v>2440877000</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3.93</v>
    <v>25799</v>
    <v>45870.958333333336</v>
    <v>469</v>
    <v>1120380</v>
    <v>BRL</v>
    <v>Empreendimentos Pague Menos S.A.</v>
    <v>Empreendimentos Pague Menos S.A.</v>
    <v>3.89</v>
    <v>3.92</v>
    <v>Rua Senador Pompeu, n 1520, Centro, FORTALEZA, CEARA, 60.025-002 BR</v>
    <v>Food &amp; Drug Retailing</v>
    <v>PGMN3</v>
    <v>Ações</v>
    <v>Empreendimentos Pague Menos S.A. (BVMF:PGMN3)</v>
    <v>-0.01</v>
    <v>-2.545E-3</v>
    <v>1865700</v>
  </rv>
  <rv s="2">
    <v>470</v>
  </rv>
  <rv s="0">
    <v>https://www.bing.com/financeapi/forcetrigger?t=bwfbr7&amp;q=BVMF%3aTFCO4&amp;form=skydnc</v>
    <v>Learn more on Bing</v>
  </rv>
  <rv s="8">
    <v>pt-BR</v>
    <v>bwfbr7</v>
    <v>268435456</v>
    <v>1</v>
    <v>Da plataforma Refinitiv</v>
    <v>14</v>
    <v>15</v>
    <v>Track &amp; Field Co S.A (BVMF:TFCO4)</v>
    <v>12</v>
    <v>16</v>
    <v>Finance</v>
    <v>5</v>
    <v>15.5</v>
    <v>8.24</v>
    <v>BVMF</v>
    <v>65492860</v>
    <v>14.92</v>
    <v>1988</v>
    <v>14.51</v>
    <v>1.0846</v>
    <v>B3 - Brazil Stock Exchange</v>
    <v>956195800</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14.55</v>
    <v>1145</v>
    <v>45870.958333333336</v>
    <v>472</v>
    <v>388910</v>
    <v>BRL</v>
    <v>Track &amp; Field Co S.A</v>
    <v>Track &amp; Field Co S.A</v>
    <v>14.67</v>
    <v>14.6</v>
    <v>Rua Cipriano Barata 456 3 andar, Ipiranga, OSASCO, SAO PAULO, 04.205-000 BR</v>
    <v>Specialty Retailers</v>
    <v>TFCO4</v>
    <v>Ações</v>
    <v>Track &amp; Field Co S.A (BVMF:TFCO4)</v>
    <v>0.05</v>
    <v>3.4360000000000003E-3</v>
    <v>325200</v>
  </rv>
  <rv s="2">
    <v>473</v>
  </rv>
  <rv s="0">
    <v>https://www.bing.com/financeapi/forcetrigger?t=apmhtc&amp;q=BVMF%3aENEV3&amp;form=skydnc</v>
    <v>Learn more on Bing</v>
  </rv>
  <rv s="8">
    <v>pt-BR</v>
    <v>apmhtc</v>
    <v>268435456</v>
    <v>1</v>
    <v>Da plataforma Refinitiv</v>
    <v>14</v>
    <v>15</v>
    <v>Eneva S.A. (BVMF:ENEV3)</v>
    <v>12</v>
    <v>16</v>
    <v>Finance</v>
    <v>5</v>
    <v>14.9</v>
    <v>9.35</v>
    <v>BVMF</v>
    <v>1932592000</v>
    <v>13.9</v>
    <v>2001</v>
    <v>13.51</v>
    <v>0.86119999999999997</v>
    <v>B3 - Brazil Stock Exchange</v>
    <v>26147970000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13.45</v>
    <v>1846</v>
    <v>45870.958333333336</v>
    <v>475</v>
    <v>5550190</v>
    <v>BRL</v>
    <v>Eneva S.A.</v>
    <v>Eneva S.A.</v>
    <v>13.76</v>
    <v>13.53</v>
    <v>Praia de Botafogo n 501, Bloco I, 2 e 4 andares, Botafogo, BOTAFOGO, RIO DE JANEIRO, 22.250-040 BR</v>
    <v>Electrical Utilities &amp; IPPs</v>
    <v>ENEV3</v>
    <v>Ações</v>
    <v>Eneva S.A. (BVMF:ENEV3)</v>
    <v>0.08</v>
    <v>5.9480000000000002E-3</v>
    <v>3873000</v>
  </rv>
  <rv s="2">
    <v>476</v>
  </rv>
  <rv s="0">
    <v>https://www.bing.com/financeapi/forcetrigger?t=apmv52&amp;q=BVMF%3aLIGT3&amp;form=skydnc</v>
    <v>Learn more on Bing</v>
  </rv>
  <rv s="8">
    <v>pt-BR</v>
    <v>apmv52</v>
    <v>268435456</v>
    <v>1</v>
    <v>Da plataforma Refinitiv</v>
    <v>14</v>
    <v>15</v>
    <v>LIGHT S.A. (BVMF:LIGT3)</v>
    <v>12</v>
    <v>16</v>
    <v>Finance</v>
    <v>5</v>
    <v>9.2100000000000009</v>
    <v>3.6</v>
    <v>BVMF</v>
    <v>372555300</v>
    <v>6.12</v>
    <v>1999</v>
    <v>5.87</v>
    <v>2.1749999999999998</v>
    <v>B3 - Brazil Stock Exchange</v>
    <v>2201802000</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6.09</v>
    <v>5140</v>
    <v>45870.958333333336</v>
    <v>478</v>
    <v>665330</v>
    <v>BRL</v>
    <v>LIGHT S.A.</v>
    <v>LIGHT S.A.</v>
    <v>6.11</v>
    <v>5.91</v>
    <v>Av.Marechal Floriano,168, Centro, RIO DE JANEIRO, RIO DE JANEIRO, 20.080-002 BR</v>
    <v>Electrical Utilities &amp; IPPs</v>
    <v>LIGT3</v>
    <v>Ações</v>
    <v>LIGHT S.A. (BVMF:LIGT3)</v>
    <v>-0.18</v>
    <v>-2.9557000000000003E-2</v>
    <v>361600</v>
  </rv>
  <rv s="2">
    <v>479</v>
  </rv>
  <rv s="0">
    <v>https://www.bing.com/financeapi/forcetrigger?t=bxgv1h&amp;q=BVMF%3aCSED3&amp;form=skydnc</v>
    <v>Learn more on Bing</v>
  </rv>
  <rv s="8">
    <v>pt-BR</v>
    <v>bxgv1h</v>
    <v>268435456</v>
    <v>1</v>
    <v>Da plataforma Refinitiv</v>
    <v>14</v>
    <v>15</v>
    <v>CRUZEIRO DO SUL EDUCACIONAL S.A. (BVMF:CSED3)</v>
    <v>12</v>
    <v>16</v>
    <v>Finance</v>
    <v>5</v>
    <v>5.44</v>
    <v>2.56</v>
    <v>BVMF</v>
    <v>364542500</v>
    <v>5.15</v>
    <v>1970</v>
    <v>5.01</v>
    <v>2.3144999999999998</v>
    <v>B3 - Brazil Stock Exchange</v>
    <v>1848230475</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5.07</v>
    <v>7668</v>
    <v>45870.958333333336</v>
    <v>481</v>
    <v>241060</v>
    <v>BRL</v>
    <v>CRUZEIRO DO SUL EDUCACIONAL S.A.</v>
    <v>CRUZEIRO DO SUL EDUCACIONAL S.A.</v>
    <v>5.15</v>
    <v>5.07</v>
    <v>Rua Cubatao, 320 3, 8 e 9 Andar, Vila Mariana, SAO PAULO, SAO PAULO, 04.013-001 BR</v>
    <v>School, College &amp; University</v>
    <v>CSED3</v>
    <v>Ações</v>
    <v>CRUZEIRO DO SUL EDUCACIONAL S.A. (BVMF:CSED3)</v>
    <v>0</v>
    <v>0</v>
    <v>360000</v>
  </rv>
  <rv s="2">
    <v>482</v>
  </rv>
  <rv s="0">
    <v>https://www.bing.com/financeapi/forcetrigger?t=apmzxm&amp;q=BVMF%3aMULT3&amp;form=skydnc</v>
    <v>Learn more on Bing</v>
  </rv>
  <rv s="8">
    <v>pt-BR</v>
    <v>apmzxm</v>
    <v>268435456</v>
    <v>1</v>
    <v>Da plataforma Refinitiv</v>
    <v>14</v>
    <v>15</v>
    <v>Multiplan Empreendimentos Imobiliários S.A. (BVMF:MULT3)</v>
    <v>12</v>
    <v>16</v>
    <v>Finance</v>
    <v>5</v>
    <v>27.62</v>
    <v>19.559999999999999</v>
    <v>BVMF</v>
    <v>513163700</v>
    <v>25.96</v>
    <v>2005</v>
    <v>25.38</v>
    <v>1.0392999999999999</v>
    <v>B3 - Brazil Stock Exchange</v>
    <v>13162650000</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25.3</v>
    <v>8500</v>
    <v>45870.958333333336</v>
    <v>484</v>
    <v>3605870</v>
    <v>BRL</v>
    <v>Multiplan Empreendimentos Imobiliários S.A.</v>
    <v>Multiplan Empreendimentos Imobiliários S.A.</v>
    <v>25.8</v>
    <v>25.65</v>
    <v>Av Das Americas 04200 Bloco 2 Salas 101 A 104 112 A 116 401 A 416 E 501 E Bloco 9 Ala B Salas 212 A 216, Barra Da Tijuca, RIO DE JANEIRO, RIO DE JANEIRO, 22.640-102 BR</v>
    <v>Real Estate Operations</v>
    <v>MULT3</v>
    <v>Ações</v>
    <v>Multiplan Empreendimentos Imobiliários S.A. (BVMF:MULT3)</v>
    <v>0.35</v>
    <v>1.3833999999999999E-2</v>
    <v>4503100</v>
  </rv>
  <rv s="2">
    <v>485</v>
  </rv>
  <rv s="0">
    <v>https://www.bing.com/financeapi/forcetrigger?t=c5nr77&amp;q=BVMF%3aAURE3&amp;form=skydnc</v>
    <v>Learn more on Bing</v>
  </rv>
  <rv s="9">
    <v>pt-BR</v>
    <v>c5nr77</v>
    <v>268435456</v>
    <v>1</v>
    <v>Da plataforma Refinitiv</v>
    <v>17</v>
    <v>18</v>
    <v>Auren Energia S.A. (BVMF:AURE3)</v>
    <v>12</v>
    <v>19</v>
    <v>Finance</v>
    <v>5</v>
    <v>12.2</v>
    <v>7.29</v>
    <v>BVMF</v>
    <v>1050378000</v>
    <v>9.85</v>
    <v>2017</v>
    <v>9.36</v>
    <v>0.58550000000000002</v>
    <v>B3 - Brazil Stock Exchange</v>
    <v>10136150000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9.27</v>
    <v>45870.958333333336</v>
    <v>487</v>
    <v>3695920</v>
    <v>BRL</v>
    <v>Auren Energia S.A.</v>
    <v>Auren Energia S.A.</v>
    <v>9.36</v>
    <v>9.65</v>
    <v>Av. dra Ruth Cardoso, 8.501 2 andar, sala 11, Pinheiros, SAO PAULO, SAO PAULO, 05.425-070 BR</v>
    <v>Electrical Utilities &amp; IPPs</v>
    <v>AURE3</v>
    <v>Ações</v>
    <v>Auren Energia S.A. (BVMF:AURE3)</v>
    <v>0.38</v>
    <v>4.0992000000000001E-2</v>
    <v>5889200</v>
  </rv>
  <rv s="2">
    <v>488</v>
  </rv>
  <rv s="0">
    <v>https://www.bing.com/financeapi/forcetrigger?t=apni6h&amp;q=BVMF%3aTUPY3&amp;form=skydnc</v>
    <v>Learn more on Bing</v>
  </rv>
  <rv s="8">
    <v>pt-BR</v>
    <v>apni6h</v>
    <v>268435456</v>
    <v>1</v>
    <v>Da plataforma Refinitiv</v>
    <v>14</v>
    <v>15</v>
    <v>TUPY S.A. (BVMF:TUPY3)</v>
    <v>12</v>
    <v>16</v>
    <v>Finance</v>
    <v>5</v>
    <v>26.74</v>
    <v>16</v>
    <v>BVMF</v>
    <v>144177500</v>
    <v>16.489999999999998</v>
    <v>1938</v>
    <v>16</v>
    <v>0.55989999999999995</v>
    <v>B3 - Brazil Stock Exchange</v>
    <v>2312607000</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16.11</v>
    <v>6451</v>
    <v>45870.837500659378</v>
    <v>490</v>
    <v>496420</v>
    <v>BRL</v>
    <v>TUPY S.A.</v>
    <v>TUPY S.A.</v>
    <v>16.190000000000001</v>
    <v>16.04</v>
    <v>Rua Albano Schmidt, 3400, Boa Vista, JOINVILLE, SANTA CATARINA, 89.227-901 BR</v>
    <v>Automobiles &amp; Auto Parts</v>
    <v>TUPY3</v>
    <v>Ações</v>
    <v>TUPY S.A. (BVMF:TUPY3)</v>
    <v>-7.0000000000000007E-2</v>
    <v>-4.3449999999999999E-3</v>
    <v>652200</v>
  </rv>
  <rv s="2">
    <v>491</v>
  </rv>
  <rv s="0">
    <v>https://www.bing.com/financeapi/forcetrigger?t=apnbh7&amp;q=BVMF%3aSCAR3&amp;form=skydnc</v>
    <v>Learn more on Bing</v>
  </rv>
  <rv s="9">
    <v>pt-BR</v>
    <v>apnbh7</v>
    <v>268435456</v>
    <v>1</v>
    <v>Da plataforma Refinitiv</v>
    <v>17</v>
    <v>18</v>
    <v>São Carlos Empreendimentos e Participações S.A. (BVMF:SCAR3)</v>
    <v>12</v>
    <v>19</v>
    <v>Finance</v>
    <v>5</v>
    <v>22.75</v>
    <v>15.32</v>
    <v>BVMF</v>
    <v>57737320</v>
    <v>18.39</v>
    <v>1985</v>
    <v>17.95</v>
    <v>0.95</v>
    <v>B3 - Brazil Stock Exchange</v>
    <v>1039272000</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18.5</v>
    <v>45870.958333333336</v>
    <v>493</v>
    <v>52830</v>
    <v>BRL</v>
    <v>São Carlos Empreendimentos e Participações S.A.</v>
    <v>São Carlos Empreendimentos e Participações S.A.</v>
    <v>18.34</v>
    <v>18</v>
    <v>Rua Dr. Eduardo de Souza Aranha, 153, 12 andar, Vila Nova Conceicao, SAO PAULO, SAO PAULO, 04.543-904 BR</v>
    <v>Real Estate Operations</v>
    <v>SCAR3</v>
    <v>Ações</v>
    <v>São Carlos Empreendimentos e Participações S.A. (BVMF:SCAR3)</v>
    <v>-0.5</v>
    <v>-2.7027000000000002E-2</v>
    <v>46700</v>
  </rv>
  <rv s="2">
    <v>494</v>
  </rv>
  <rv s="0">
    <v>https://www.bing.com/financeapi/forcetrigger?t=btow3m&amp;q=BVMF%3aLWSA3&amp;form=skydnc</v>
    <v>Learn more on Bing</v>
  </rv>
  <rv s="8">
    <v>pt-BR</v>
    <v>btow3m</v>
    <v>268435456</v>
    <v>1</v>
    <v>Da plataforma Refinitiv</v>
    <v>14</v>
    <v>15</v>
    <v>LWSA S/A (BVMF:LWSA3)</v>
    <v>12</v>
    <v>16</v>
    <v>Finance</v>
    <v>5</v>
    <v>5.26</v>
    <v>2.4700000000000002</v>
    <v>BVMF</v>
    <v>565999200</v>
    <v>3.96</v>
    <v>1997</v>
    <v>3.79</v>
    <v>1.2337</v>
    <v>B3 - Brazil Stock Exchange</v>
    <v>2235697000</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3.78</v>
    <v>1229</v>
    <v>45870.958333333336</v>
    <v>496</v>
    <v>6580070</v>
    <v>BRL</v>
    <v>LWSA S/A</v>
    <v>LWSA S/A</v>
    <v>3.8</v>
    <v>3.95</v>
    <v>Rua Itapaiuna, 2.434, Vila Andrade, SAO PAULO, SAO PAULO, 05.707-001 BR</v>
    <v>Software &amp; IT Services</v>
    <v>LWSA3</v>
    <v>Ações</v>
    <v>LWSA S/A (BVMF:LWSA3)</v>
    <v>0.17</v>
    <v>4.4974E-2</v>
    <v>12202900</v>
  </rv>
  <rv s="2">
    <v>497</v>
  </rv>
  <rv s="0">
    <v>https://www.bing.com/financeapi/forcetrigger?t=apmvur&amp;q=BVMF%3aLPSB3&amp;form=skydnc</v>
    <v>Learn more on Bing</v>
  </rv>
  <rv s="8">
    <v>pt-BR</v>
    <v>apmvur</v>
    <v>268435456</v>
    <v>1</v>
    <v>Da plataforma Refinitiv</v>
    <v>14</v>
    <v>15</v>
    <v>LPS BRASIL - CONSULTORIA DE IMOVEIS S.A. (BVMF:LPSB3)</v>
    <v>12</v>
    <v>16</v>
    <v>Finance</v>
    <v>5</v>
    <v>2.2000000000000002</v>
    <v>1.04</v>
    <v>BVMF</v>
    <v>147554600</v>
    <v>1.44</v>
    <v>2006</v>
    <v>1.35</v>
    <v>1.4052</v>
    <v>B3 - Brazil Stock Exchange</v>
    <v>209527600</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1.43</v>
    <v>336</v>
    <v>45870.958333333336</v>
    <v>499</v>
    <v>90250</v>
    <v>BRL</v>
    <v>LPS BRASIL - CONSULTORIA DE IMOVEIS S.A.</v>
    <v>LPS BRASIL - CONSULTORIA DE IMOVEIS S.A.</v>
    <v>1.4</v>
    <v>1.42</v>
    <v>Rua Estados Unidos,2000, Jardim America, SAO PAULO, SAO PAULO, 01.427-002 BR</v>
    <v>Real Estate Operations</v>
    <v>LPSB3</v>
    <v>Ações</v>
    <v>LPS BRASIL - CONSULTORIA DE IMOVEIS S.A. (BVMF:LPSB3)</v>
    <v>-0.01</v>
    <v>-6.9930000000000001E-3</v>
    <v>80600</v>
  </rv>
  <rv s="2">
    <v>500</v>
  </rv>
  <rv s="0">
    <v>https://www.bing.com/financeapi/forcetrigger?t=btotsm&amp;q=BVMF%3aMTRE3&amp;form=skydnc</v>
    <v>Learn more on Bing</v>
  </rv>
  <rv s="8">
    <v>pt-BR</v>
    <v>btotsm</v>
    <v>268435456</v>
    <v>1</v>
    <v>Da plataforma Refinitiv</v>
    <v>14</v>
    <v>15</v>
    <v>MITRE REALTY EMPREENDIMENTOS E PARTICIPAÇÕES S.A. (BVMF:MTRE3)</v>
    <v>12</v>
    <v>16</v>
    <v>Finance</v>
    <v>5</v>
    <v>4.2699999999999996</v>
    <v>2.57</v>
    <v>BVMF</v>
    <v>105774800</v>
    <v>3.78</v>
    <v>2005</v>
    <v>3.66</v>
    <v>2.0901999999999998</v>
    <v>B3 - Brazil Stock Exchange</v>
    <v>387135800</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3.7</v>
    <v>159</v>
    <v>45870.958333333336</v>
    <v>502</v>
    <v>452030</v>
    <v>BRL</v>
    <v>MITRE REALTY EMPREENDIMENTOS E PARTICIPAÇÕES S.A.</v>
    <v>MITRE REALTY EMPREENDIMENTOS E PARTICIPAÇÕES S.A.</v>
    <v>3.75</v>
    <v>3.66</v>
    <v>Alameda Santos, 700, 5 Andar, Jardim Paulista, SAO PAULO, SAO PAULO, 01.418-002 BR</v>
    <v>Homebuilding &amp; Construction Supplies</v>
    <v>MTRE3</v>
    <v>Ações</v>
    <v>MITRE REALTY EMPREENDIMENTOS E PARTICIPAÇÕES S.A. (BVMF:MTRE3)</v>
    <v>-0.04</v>
    <v>-1.0810999999999999E-2</v>
    <v>507400</v>
  </rv>
  <rv s="2">
    <v>503</v>
  </rv>
  <rv s="0">
    <v>http://zh.wikipedia.org/wiki/巴西航空工业公司</v>
    <v>Wikipedia</v>
  </rv>
  <rv s="10">
    <v>36</v>
    <v>505</v>
  </rv>
  <rv s="11">
    <v>25</v>
    <v>https://www.bing.com/th?id=AMMS_93adec0d103d6c960720b15dfec63061&amp;qlt=95</v>
    <v>506</v>
    <v>0</v>
    <v>https://www.bing.com/images/search?form=xlimg&amp;q=embraer</v>
    <v>Image of EMBRAER S.A.</v>
  </rv>
  <rv s="0">
    <v>https://www.bing.com/financeapi/forcetrigger?t=apmhnm&amp;q=BVMF%3aEMBR3&amp;form=skydnc</v>
    <v>Learn more on Bing</v>
  </rv>
  <rv s="12">
    <v>pt-BR</v>
    <v>apmhnm</v>
    <v>268435456</v>
    <v>1</v>
    <v>Da plataforma Refinitiv</v>
    <v>20</v>
    <v>21</v>
    <v>EMBRAER S.A. (BVMF:EMBR3)</v>
    <v>23</v>
    <v>24</v>
    <v>Finance</v>
    <v>5</v>
    <v>83.95</v>
    <v>37.380000000000003</v>
    <v>BVMF</v>
    <v>740465000</v>
    <v>81.69</v>
    <v>2005</v>
    <v>78.010000000000005</v>
    <v>0.52669999999999995</v>
    <v>B3 - Brazil Stock Exchange</v>
    <v>58533760000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80.66</v>
    <v>20923</v>
    <v>45870.958333333336</v>
    <v>507</v>
    <v>508</v>
    <v>9161280</v>
    <v>BRL</v>
    <v>EMBRAER S.A.</v>
    <v>EMBRAER S.A.</v>
    <v>80.7</v>
    <v>79.05</v>
    <v>Av Brigadeiro Faria Lima 2170, Putim, SAO JOSE DOS CAMPOS, SAO PAULO, 12.227-901 BR</v>
    <v>Aerospace &amp; Defense</v>
    <v>EMBR3</v>
    <v>Ações</v>
    <v>EMBRAER S.A. (BVMF:EMBR3)</v>
    <v>-1.61</v>
    <v>-1.9959999999999999E-2</v>
    <v>10064900</v>
  </rv>
  <rv s="2">
    <v>509</v>
  </rv>
  <rv s="0">
    <v>https://www.bing.com/financeapi/forcetrigger?t=apmi2w&amp;q=BVMF%3aENGI4&amp;form=skydnc</v>
    <v>Learn more on Bing</v>
  </rv>
  <rv s="8">
    <v>pt-BR</v>
    <v>apmi2w</v>
    <v>268435456</v>
    <v>1</v>
    <v>Da plataforma Refinitiv</v>
    <v>14</v>
    <v>15</v>
    <v>ENERGISA S.A. (BVMF:ENGI4)</v>
    <v>12</v>
    <v>16</v>
    <v>Finance</v>
    <v>5</v>
    <v>9.19</v>
    <v>5.97</v>
    <v>BVMF</v>
    <v>2289425000</v>
    <v>8.82</v>
    <v>1998</v>
    <v>8.59</v>
    <v>0.96099999999999997</v>
    <v>B3 - Brazil Stock Exchange</v>
    <v>22102320000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8.75</v>
    <v>17000</v>
    <v>45870.958333333336</v>
    <v>511</v>
    <v>4840</v>
    <v>BRL</v>
    <v>ENERGISA S.A.</v>
    <v>ENERGISA S.A.</v>
    <v>8.82</v>
    <v>8.6</v>
    <v>Praca Rui Barbosa,N 80(Parte), Centro, CATAGUASES, MINAS GERAIS, 36.770-901 BR</v>
    <v>Electrical Utilities &amp; IPPs</v>
    <v>ENGI4</v>
    <v>Ações</v>
    <v>ENERGISA S.A. (BVMF:ENGI4)</v>
    <v>-0.15</v>
    <v>-1.7142999999999999E-2</v>
    <v>6700</v>
  </rv>
  <rv s="2">
    <v>512</v>
  </rv>
  <rv s="0">
    <v>https://www.bing.com/financeapi/forcetrigger?t=aplwhw&amp;q=BVMF%3aANIM3&amp;form=skydnc</v>
    <v>Learn more on Bing</v>
  </rv>
  <rv s="8">
    <v>pt-BR</v>
    <v>aplwhw</v>
    <v>268435456</v>
    <v>1</v>
    <v>Da plataforma Refinitiv</v>
    <v>14</v>
    <v>15</v>
    <v>Ânima Holding S/A (BVMF:ANIM3)</v>
    <v>12</v>
    <v>16</v>
    <v>Finance</v>
    <v>5</v>
    <v>4.5199999999999996</v>
    <v>1.46</v>
    <v>BVMF</v>
    <v>403868800</v>
    <v>3.78</v>
    <v>2007</v>
    <v>3.63</v>
    <v>2.8858999999999999</v>
    <v>B3 - Brazil Stock Exchange</v>
    <v>1494315000</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3.64</v>
    <v>4046</v>
    <v>45870.958333333336</v>
    <v>514</v>
    <v>4116720</v>
    <v>BRL</v>
    <v>Ânima Holding S/A</v>
    <v>Ânima Holding S/A</v>
    <v>3.73</v>
    <v>3.7</v>
    <v>Rua Harmonia, 1250 9 andar, Sumarezinho, SAO PAULO, SAO PAULO, 05.435-001 BR</v>
    <v>Miscellaneous Educational Service Providers</v>
    <v>ANIM3</v>
    <v>Ações</v>
    <v>Ânima Holding S/A (BVMF:ANIM3)</v>
    <v>0.06</v>
    <v>1.6484000000000002E-2</v>
    <v>4476700</v>
  </rv>
  <rv s="2">
    <v>515</v>
  </rv>
  <rv s="0">
    <v>https://www.bing.com/financeapi/forcetrigger?t=apn6hw&amp;q=BVMF%3aPRIO3&amp;form=skydnc</v>
    <v>Learn more on Bing</v>
  </rv>
  <rv s="8">
    <v>pt-BR</v>
    <v>apn6hw</v>
    <v>268435456</v>
    <v>1</v>
    <v>Da plataforma Refinitiv</v>
    <v>14</v>
    <v>15</v>
    <v>PRIO S.A. (BVMF:PRIO3)</v>
    <v>12</v>
    <v>16</v>
    <v>Finance</v>
    <v>5</v>
    <v>50.12</v>
    <v>32.68</v>
    <v>BVMF</v>
    <v>896346200</v>
    <v>42.75</v>
    <v>2008</v>
    <v>40.92</v>
    <v>1.3072999999999999</v>
    <v>B3 - Brazil Stock Exchange</v>
    <v>36741230000</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42.19</v>
    <v>90</v>
    <v>45870.958333333336</v>
    <v>517</v>
    <v>6099520</v>
    <v>BRL</v>
    <v>PRIO S.A.</v>
    <v>PRIO S.A.</v>
    <v>42.54</v>
    <v>40.99</v>
    <v>Pr De Botafogo 370 : 1 Andar Parte;, Botafogo, RIO DE JANEIRO, RIO DE JANEIRO, 22.250-040 BR</v>
    <v>Oil &amp; Gas</v>
    <v>PRIO3</v>
    <v>Ações</v>
    <v>PRIO S.A. (BVMF:PRIO3)</v>
    <v>-1.2</v>
    <v>-2.8443E-2</v>
    <v>11255100</v>
  </rv>
  <rv s="2">
    <v>518</v>
  </rv>
  <rv s="0">
    <v>https://www.bing.com/financeapi/forcetrigger?t=apn2c7&amp;q=BVMF%3aODPV3&amp;form=skydnc</v>
    <v>Learn more on Bing</v>
  </rv>
  <rv s="8">
    <v>pt-BR</v>
    <v>apn2c7</v>
    <v>268435456</v>
    <v>1</v>
    <v>Da plataforma Refinitiv</v>
    <v>14</v>
    <v>15</v>
    <v>ODONTOPREV S.A. (BVMF:ODPV3)</v>
    <v>12</v>
    <v>16</v>
    <v>Finance</v>
    <v>5</v>
    <v>12.21</v>
    <v>9.5</v>
    <v>BVMF</v>
    <v>552495700</v>
    <v>12.21</v>
    <v>1987</v>
    <v>11.92</v>
    <v>0.50900000000000001</v>
    <v>B3 - Brazil Stock Exchange</v>
    <v>6712822000</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12.01</v>
    <v>2026</v>
    <v>45870.958333333336</v>
    <v>520</v>
    <v>1442030</v>
    <v>BRL</v>
    <v>ODONTOPREV S.A.</v>
    <v>ODONTOPREV S.A.</v>
    <v>12</v>
    <v>12.15</v>
    <v>Alameda Araguaia, 2104 - 21 Andar, Alphaville, BARUERI, SAO PAULO, 06.460-040 BR</v>
    <v>Healthcare Providers &amp; Services</v>
    <v>ODPV3</v>
    <v>Ações</v>
    <v>ODONTOPREV S.A. (BVMF:ODPV3)</v>
    <v>0.14000000000000001</v>
    <v>1.1656999999999999E-2</v>
    <v>2196400</v>
  </rv>
  <rv s="2">
    <v>521</v>
  </rv>
  <rv s="0">
    <v>https://www.bing.com/financeapi/forcetrigger?t=c1w2k2&amp;q=BVMF%3aRECV3&amp;form=skydnc</v>
    <v>Learn more on Bing</v>
  </rv>
  <rv s="8">
    <v>pt-BR</v>
    <v>c1w2k2</v>
    <v>268435456</v>
    <v>1</v>
    <v>Da plataforma Refinitiv</v>
    <v>14</v>
    <v>15</v>
    <v>PetroRecôncavo S.A. (BVMF:RECV3)</v>
    <v>12</v>
    <v>16</v>
    <v>Finance</v>
    <v>5</v>
    <v>19.47</v>
    <v>11.88</v>
    <v>BVMF</v>
    <v>293472100</v>
    <v>13.64</v>
    <v>2000</v>
    <v>13.27</v>
    <v>0.84899999999999998</v>
    <v>B3 - Brazil Stock Exchange</v>
    <v>3914918000</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13.42</v>
    <v>532</v>
    <v>45870.958333333336</v>
    <v>523</v>
    <v>1942910</v>
    <v>BRL</v>
    <v>PetroRecôncavo S.A.</v>
    <v>PetroRecôncavo S.A.</v>
    <v>13.64</v>
    <v>13.34</v>
    <v>Est Do Vinte Mil Km 3,5 Estacao De Sao Roque, Mata De Sao Joao, MATA DE SAO JOAO, BAHIA, 48.280-000 BR</v>
    <v>Oil &amp; Gas</v>
    <v>RECV3</v>
    <v>Ações</v>
    <v>PetroRecôncavo S.A. (BVMF:RECV3)</v>
    <v>-0.08</v>
    <v>-5.9609999999999993E-3</v>
    <v>2203900</v>
  </rv>
  <rv s="2">
    <v>524</v>
  </rv>
  <rv s="0">
    <v>https://www.bing.com/financeapi/forcetrigger?t=btrmim&amp;q=BVMF%3aMDNE3&amp;form=skydnc</v>
    <v>Learn more on Bing</v>
  </rv>
  <rv s="8">
    <v>pt-BR</v>
    <v>btrmim</v>
    <v>268435456</v>
    <v>1</v>
    <v>Da plataforma Refinitiv</v>
    <v>14</v>
    <v>15</v>
    <v>Moura Dubeux Engenharia S/A (BVMF:MDNE3)</v>
    <v>12</v>
    <v>16</v>
    <v>Finance</v>
    <v>5</v>
    <v>24.77</v>
    <v>9.74</v>
    <v>BVMF</v>
    <v>84909370</v>
    <v>22.97</v>
    <v>1987</v>
    <v>22.2</v>
    <v>1.641</v>
    <v>B3 - Brazil Stock Exchange</v>
    <v>1901970000</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22.61</v>
    <v>1388</v>
    <v>45870.958333333336</v>
    <v>526</v>
    <v>601210</v>
    <v>BRL</v>
    <v>Moura Dubeux Engenharia S/A</v>
    <v>Moura Dubeux Engenharia S/A</v>
    <v>22.97</v>
    <v>22.4</v>
    <v>Av Engenheiro Domingos Ferreira 467 13 Andar Parte, Pina, RECIFE, PERNAMBUCO, 51.011-050 BR</v>
    <v>Real Estate Operations</v>
    <v>MDNE3</v>
    <v>Ações</v>
    <v>Moura Dubeux Engenharia S/A (BVMF:MDNE3)</v>
    <v>-0.21</v>
    <v>-9.2879999999999994E-3</v>
    <v>507600</v>
  </rv>
  <rv s="2">
    <v>527</v>
  </rv>
  <rv s="0">
    <v>https://www.bing.com/financeapi/forcetrigger?t=apn94c&amp;q=BVMF%3aRCSL4&amp;form=skydnc</v>
    <v>Learn more on Bing</v>
  </rv>
  <rv s="8">
    <v>pt-BR</v>
    <v>apn94c</v>
    <v>268435456</v>
    <v>1</v>
    <v>Da plataforma Refinitiv</v>
    <v>14</v>
    <v>15</v>
    <v>RECRUSUL S.A. (BVMF:RCSL4)</v>
    <v>12</v>
    <v>16</v>
    <v>Finance</v>
    <v>5</v>
    <v>2.33</v>
    <v>0.64</v>
    <v>BVMF</v>
    <v>31822290</v>
    <v>1.1000000000000001</v>
    <v>1954</v>
    <v>1.05</v>
    <v>1.4274</v>
    <v>B3 - Brazil Stock Exchange</v>
    <v>41624590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1.08</v>
    <v>106</v>
    <v>45870.958333333336</v>
    <v>529</v>
    <v>5074990</v>
    <v>BRL</v>
    <v>RECRUSUL S.A.</v>
    <v>RECRUSUL S.A.</v>
    <v>1.0900000000000001</v>
    <v>1.05</v>
    <v>Av. Luiz Pasteur, 1020, Tres Portos, SAPUCAIA DO SUL, RIO GRANDE DO SUL, 93.212-360 BR</v>
    <v>Automobiles &amp; Auto Parts</v>
    <v>RCSL4</v>
    <v>Ações</v>
    <v>RECRUSUL S.A. (BVMF:RCSL4)</v>
    <v>-0.03</v>
    <v>-2.7778000000000001E-2</v>
    <v>2279500</v>
  </rv>
  <rv s="2">
    <v>530</v>
  </rv>
  <rv s="0">
    <v>https://www.bing.com/financeapi/forcetrigger?t=apnhfr&amp;q=BVMF%3aTPIS3&amp;form=skydnc</v>
    <v>Learn more on Bing</v>
  </rv>
  <rv s="8">
    <v>pt-BR</v>
    <v>apnhfr</v>
    <v>268435456</v>
    <v>1</v>
    <v>Da plataforma Refinitiv</v>
    <v>14</v>
    <v>15</v>
    <v>TPI - Triunfo Participações e Investimentos S.A. (BVMF:TPIS3)</v>
    <v>12</v>
    <v>16</v>
    <v>Finance</v>
    <v>5</v>
    <v>7.1</v>
    <v>3.45</v>
    <v>BVMF</v>
    <v>44000000</v>
    <v>4.21</v>
    <v>1999</v>
    <v>4</v>
    <v>1.8186</v>
    <v>B3 - Brazil Stock Exchange</v>
    <v>176880000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4</v>
    <v>3380</v>
    <v>45870.958333333336</v>
    <v>532</v>
    <v>10670</v>
    <v>BRL</v>
    <v>TPI - Triunfo Participações e Investimentos S.A.</v>
    <v>TPI - Triunfo Participações e Investimentos S.A.</v>
    <v>4.2</v>
    <v>4.0199999999999996</v>
    <v>Rua Olimpiadas, 205,14 andar, Vila Olimpia, SAO PAULO, SAO PAULO, 04.551-000 BR</v>
    <v>Transport Infrastructure</v>
    <v>TPIS3</v>
    <v>Ações</v>
    <v>TPI - Triunfo Participações e Investimentos S.A. (BVMF:TPIS3)</v>
    <v>0.02</v>
    <v>5.0000000000000001E-3</v>
    <v>10800</v>
  </rv>
  <rv s="2">
    <v>533</v>
  </rv>
  <rv s="0">
    <v>https://www.bing.com/financeapi/forcetrigger?t=apml6h&amp;q=BVMF%3aTASA4&amp;form=skydnc</v>
    <v>Learn more on Bing</v>
  </rv>
  <rv s="8">
    <v>pt-BR</v>
    <v>apml6h</v>
    <v>268435456</v>
    <v>1</v>
    <v>Da plataforma Refinitiv</v>
    <v>14</v>
    <v>15</v>
    <v>Taurus Armas S.A (BVMF:TASA4)</v>
    <v>12</v>
    <v>16</v>
    <v>Finance</v>
    <v>5</v>
    <v>10.6</v>
    <v>4.7</v>
    <v>BVMF</v>
    <v>139297900</v>
    <v>5</v>
    <v>1939</v>
    <v>4.83</v>
    <v>1.2639</v>
    <v>B3 - Brazil Stock Exchange</v>
    <v>759764500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4.8600000000000003</v>
    <v>3286</v>
    <v>45870.958333333336</v>
    <v>535</v>
    <v>788660</v>
    <v>BRL</v>
    <v>Taurus Armas S.A</v>
    <v>Taurus Armas S.A</v>
    <v>4.8899999999999997</v>
    <v>4.9000000000000004</v>
    <v>Avenida Sao Borja 2181/Predio A, Fazenda Sao Borja, SAO LEOPOLDO, RIO GRANDE DO SUL, 93.035-411 BR</v>
    <v>Aerospace &amp; Defense</v>
    <v>TASA4</v>
    <v>Ações</v>
    <v>Taurus Armas S.A (BVMF:TASA4)</v>
    <v>0.04</v>
    <v>8.2299999999999995E-3</v>
    <v>487000</v>
  </rv>
  <rv s="2">
    <v>536</v>
  </rv>
  <rv s="0">
    <v>https://www.bing.com/financeapi/forcetrigger?t=apnd4c&amp;q=BVMF%3aSNSY5&amp;form=skydnc</v>
    <v>Learn more on Bing</v>
  </rv>
  <rv s="8">
    <v>pt-BR</v>
    <v>apnd4c</v>
    <v>268435456</v>
    <v>1</v>
    <v>Da plataforma Refinitiv</v>
    <v>14</v>
    <v>15</v>
    <v>Sansuy S/A Indústria de Plásticos em Recuperação Judicial (BVMF:SNSY5)</v>
    <v>12</v>
    <v>16</v>
    <v>Finance</v>
    <v>5</v>
    <v>6.29</v>
    <v>3.29</v>
    <v>BVMF</v>
    <v>7716400</v>
    <v>3.56</v>
    <v>1979</v>
    <v>3.5</v>
    <v>0.45390000000000003</v>
    <v>B3 - Brazil Stock Exchange</v>
    <v>48817990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3.55</v>
    <v>1460</v>
    <v>45870.819507638284</v>
    <v>538</v>
    <v>560</v>
    <v>BRL</v>
    <v>Sansuy S/A Indústria de Plásticos em Recuperação Judicial</v>
    <v>Sansuy S/A Indústria de Plásticos em Recuperação Judicial</v>
    <v>3.5</v>
    <v>3.56</v>
    <v>Rua dos Plasticos, 761, Area Indl. Leste, CAMACARI, BAHIA, 42.810-240 BR</v>
    <v>Chemicals</v>
    <v>SNSY5</v>
    <v>Ações</v>
    <v>Sansuy S/A Indústria de Plásticos em Recuperação Judicial (BVMF:SNSY5)</v>
    <v>0.01</v>
    <v>2.8170000000000001E-3</v>
    <v>200</v>
  </rv>
  <rv s="2">
    <v>539</v>
  </rv>
  <rv s="0">
    <v>https://www.bing.com/financeapi/forcetrigger?t=bvjsa2&amp;q=BVMF%3aLAVV3&amp;form=skydnc</v>
    <v>Learn more on Bing</v>
  </rv>
  <rv s="8">
    <v>pt-BR</v>
    <v>bvjsa2</v>
    <v>268435456</v>
    <v>1</v>
    <v>Da plataforma Refinitiv</v>
    <v>14</v>
    <v>15</v>
    <v>Lavvi Empreendimentos Imobiliários S/A (BVMF:LAVV3)</v>
    <v>12</v>
    <v>16</v>
    <v>Finance</v>
    <v>5</v>
    <v>13.03</v>
    <v>6.62</v>
    <v>BVMF</v>
    <v>195434400</v>
    <v>12.57</v>
    <v>2016</v>
    <v>12.2</v>
    <v>1.1586000000000001</v>
    <v>B3 - Brazil Stock Exchange</v>
    <v>2421432000</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12.27</v>
    <v>16</v>
    <v>45870.958333333336</v>
    <v>541</v>
    <v>417360</v>
    <v>BRL</v>
    <v>Lavvi Empreendimentos Imobiliários S/A</v>
    <v>Lavvi Empreendimentos Imobiliários S/A</v>
    <v>12.27</v>
    <v>12.39</v>
    <v>Avenida Angelica, 2346 8 andar CJ 84, Bairro Consolacao, Sao Paulo, SAO PAULO, 01.228-200 BR</v>
    <v>Real Estate Operations</v>
    <v>LAVV3</v>
    <v>Ações</v>
    <v>Lavvi Empreendimentos Imobiliários S/A (BVMF:LAVV3)</v>
    <v>0.12</v>
    <v>9.7800000000000005E-3</v>
    <v>303800</v>
  </rv>
  <rv s="2">
    <v>542</v>
  </rv>
  <rv s="0">
    <v>https://www.bing.com/financeapi/forcetrigger?t=aplvcw&amp;q=BVMF%3aALPA3&amp;form=skydnc</v>
    <v>Learn more on Bing</v>
  </rv>
  <rv s="8">
    <v>pt-BR</v>
    <v>aplvcw</v>
    <v>268435456</v>
    <v>1</v>
    <v>Da plataforma Refinitiv</v>
    <v>14</v>
    <v>15</v>
    <v>ALPARGATAS S.A. (BVMF:ALPA3)</v>
    <v>12</v>
    <v>16</v>
    <v>Finance</v>
    <v>5</v>
    <v>9.5</v>
    <v>5.61</v>
    <v>BVMF</v>
    <v>683062200</v>
    <v>7.4</v>
    <v>1907</v>
    <v>7.3</v>
    <v>1.0098</v>
    <v>B3 - Brazil Stock Exchange</v>
    <v>5463689000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7.32</v>
    <v>17000</v>
    <v>45870.958333333336</v>
    <v>544</v>
    <v>1239180</v>
    <v>BRL</v>
    <v>ALPARGATAS S.A.</v>
    <v>ALPARGATAS S.A.</v>
    <v>7.32</v>
    <v>7.35</v>
    <v>Av. das Nacoes Unidas, 14.261, Vila Gertrudes, SAO PAULO, SAO PAULO, 04.794-000 BR</v>
    <v>Textiles &amp; Apparel</v>
    <v>ALPA3</v>
    <v>Ações</v>
    <v>ALPARGATAS S.A. (BVMF:ALPA3)</v>
    <v>0.03</v>
    <v>4.0980000000000001E-3</v>
    <v>5400</v>
  </rv>
  <rv s="2">
    <v>545</v>
  </rv>
  <rv s="0">
    <v>https://www.bing.com/financeapi/forcetrigger?t=c2vjhw&amp;q=BVMF%3aLVTC3&amp;form=skydnc</v>
    <v>Learn more on Bing</v>
  </rv>
  <rv s="9">
    <v>pt-BR</v>
    <v>c2vjhw</v>
    <v>268435456</v>
    <v>1</v>
    <v>Da plataforma Refinitiv</v>
    <v>17</v>
    <v>18</v>
    <v>Livetech da Bahia Indústria e Comércio S.A. (BVMF:LVTC3)</v>
    <v>12</v>
    <v>19</v>
    <v>Finance</v>
    <v>5</v>
    <v>4.0199999999999996</v>
    <v>2.0099999999999998</v>
    <v>BVMF</v>
    <v>63461460</v>
    <v>3.68</v>
    <v>2003</v>
    <v>3.45</v>
    <v>1.5021</v>
    <v>B3 - Brazil Stock Exchange</v>
    <v>218942000</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3.59</v>
    <v>45870.958333333336</v>
    <v>547</v>
    <v>16660</v>
    <v>BRL</v>
    <v>Livetech da Bahia Indústria e Comércio S.A.</v>
    <v>Livetech da Bahia Indústria e Comércio S.A.</v>
    <v>3.59</v>
    <v>3.45</v>
    <v>Rodovia BA-262, Ilheus x Urucuca, s/n, Km 2,8 Quadra A, Polo de Informatica, Iguape, ILHEUS, BAHIA, 45.658-335 BR</v>
    <v>Telecommunications Services</v>
    <v>LVTC3</v>
    <v>Ações</v>
    <v>Livetech da Bahia Indústria e Comércio S.A. (BVMF:LVTC3)</v>
    <v>-0.14000000000000001</v>
    <v>-3.8997000000000004E-2</v>
    <v>14400</v>
  </rv>
  <rv s="2">
    <v>548</v>
  </rv>
  <rv s="0">
    <v>https://www.bing.com/financeapi/forcetrigger?t=aplzoc&amp;q=BVMF%3aBEEF3&amp;form=skydnc</v>
    <v>Learn more on Bing</v>
  </rv>
  <rv s="8">
    <v>pt-BR</v>
    <v>aplzoc</v>
    <v>268435456</v>
    <v>1</v>
    <v>Da plataforma Refinitiv</v>
    <v>14</v>
    <v>15</v>
    <v>Minerva S.A (BVMF:BEEF3)</v>
    <v>12</v>
    <v>16</v>
    <v>Finance</v>
    <v>5</v>
    <v>7.3</v>
    <v>3.75</v>
    <v>BVMF</v>
    <v>994489400</v>
    <v>5.09</v>
    <v>1992</v>
    <v>4.91</v>
    <v>0.77910000000000001</v>
    <v>B3 - Brazil Stock Exchange</v>
    <v>4912777636</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4.9400000000000004</v>
    <v>22000</v>
    <v>45870.958333333336</v>
    <v>550</v>
    <v>10340010</v>
    <v>BRL</v>
    <v>Minerva S.A</v>
    <v>Minerva S.A</v>
    <v>4.99</v>
    <v>4.9400000000000004</v>
    <v>Avenida Antonio Manco Bernardes s/n, BARRETOS, SAO PAULO, 14.781-545 BR</v>
    <v>Food &amp; Tobacco</v>
    <v>BEEF3</v>
    <v>Ações</v>
    <v>Minerva S.A (BVMF:BEEF3)</v>
    <v>0</v>
    <v>0</v>
    <v>10062900</v>
  </rv>
  <rv s="2">
    <v>551</v>
  </rv>
  <rv s="0">
    <v>https://www.bing.com/financeapi/forcetrigger?t=aplvfr&amp;q=BVMF%3aALPA4&amp;form=skydnc</v>
    <v>Learn more on Bing</v>
  </rv>
  <rv s="8">
    <v>pt-BR</v>
    <v>aplvfr</v>
    <v>268435456</v>
    <v>1</v>
    <v>Da plataforma Refinitiv</v>
    <v>14</v>
    <v>15</v>
    <v>ALPARGATAS S.A. (BVMF:ALPA4)</v>
    <v>12</v>
    <v>16</v>
    <v>Finance</v>
    <v>5</v>
    <v>9.5500000000000007</v>
    <v>5.86</v>
    <v>BVMF</v>
    <v>683062200</v>
    <v>8.84</v>
    <v>1907</v>
    <v>8.58</v>
    <v>1.0098</v>
    <v>B3 - Brazil Stock Exchange</v>
    <v>5463689000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8.56</v>
    <v>17000</v>
    <v>45870.958333333336</v>
    <v>553</v>
    <v>1239180</v>
    <v>BRL</v>
    <v>ALPARGATAS S.A.</v>
    <v>ALPARGATAS S.A.</v>
    <v>8.59</v>
    <v>8.64</v>
    <v>Av. das Nacoes Unidas, 14.261, Vila Gertrudes, SAO PAULO, SAO PAULO, 04.794-000 BR</v>
    <v>Textiles &amp; Apparel</v>
    <v>ALPA4</v>
    <v>Ações</v>
    <v>ALPARGATAS S.A. (BVMF:ALPA4)</v>
    <v>0.08</v>
    <v>9.3460000000000001E-3</v>
    <v>1545600</v>
  </rv>
  <rv s="2">
    <v>554</v>
  </rv>
  <rv s="0">
    <v>https://www.bing.com/financeapi/forcetrigger?t=c2tzrw&amp;q=BVMF%3aMLAS3&amp;form=skydnc</v>
    <v>Learn more on Bing</v>
  </rv>
  <rv s="8">
    <v>pt-BR</v>
    <v>c2tzrw</v>
    <v>268435456</v>
    <v>1</v>
    <v>Da plataforma Refinitiv</v>
    <v>14</v>
    <v>15</v>
    <v>GRUPO MULTI S.A. (BVMF:MLAS3)</v>
    <v>12</v>
    <v>16</v>
    <v>Finance</v>
    <v>5</v>
    <v>2.23</v>
    <v>0.99</v>
    <v>BVMF</v>
    <v>820539200</v>
    <v>1.03</v>
    <v>1988</v>
    <v>0.99</v>
    <v>1.8247</v>
    <v>B3 - Brazil Stock Exchange</v>
    <v>820539200</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1.01</v>
    <v>5000</v>
    <v>45870.958333333336</v>
    <v>556</v>
    <v>980680</v>
    <v>BRL</v>
    <v>GRUPO MULTI S.A.</v>
    <v>GRUPO MULTI S.A.</v>
    <v>1.02</v>
    <v>1</v>
    <v>Avenida Brigadeiro Faria Lima, n 1811 15 andar, Jardim America, SAO PAULO, SAO PAULO, 01.452-000 BR</v>
    <v>Computers, Phones &amp; Household Electronics</v>
    <v>MLAS3</v>
    <v>Ações</v>
    <v>GRUPO MULTI S.A. (BVMF:MLAS3)</v>
    <v>-0.01</v>
    <v>-9.9010000000000001E-3</v>
    <v>1568400</v>
  </rv>
  <rv s="2">
    <v>557</v>
  </rv>
  <rv s="0">
    <v>https://www.bing.com/financeapi/forcetrigger?t=apmj52&amp;q=BVMF%3aEUCA4&amp;form=skydnc</v>
    <v>Learn more on Bing</v>
  </rv>
  <rv s="8">
    <v>pt-BR</v>
    <v>apmj52</v>
    <v>268435456</v>
    <v>1</v>
    <v>Da plataforma Refinitiv</v>
    <v>14</v>
    <v>15</v>
    <v>Eucatex S.A. Industria e Comercio (BVMF:EUCA4)</v>
    <v>12</v>
    <v>16</v>
    <v>Finance</v>
    <v>5</v>
    <v>19.3</v>
    <v>11.85</v>
    <v>BVMF</v>
    <v>92619260</v>
    <v>17.93</v>
    <v>1951</v>
    <v>17.059999999999999</v>
    <v>1.0286999999999999</v>
    <v>B3 - Brazil Stock Exchange</v>
    <v>1624353000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17.62</v>
    <v>2378</v>
    <v>45870.958333333336</v>
    <v>559</v>
    <v>37270</v>
    <v>BRL</v>
    <v>Eucatex S.A. Industria e Comercio</v>
    <v>Eucatex S.A. Industria e Comercio</v>
    <v>17.68</v>
    <v>17.399999999999999</v>
    <v>Av. Juscelino Kubitschek, 1830 11 andar,Torre I, Vila Olimpia, SAO PAULO, SAO PAULO, 04.543-900 BR</v>
    <v>Paper &amp; Forest Products</v>
    <v>EUCA4</v>
    <v>Ações</v>
    <v>Eucatex S.A. Industria e Comercio (BVMF:EUCA4)</v>
    <v>-0.22</v>
    <v>-1.2485999999999999E-2</v>
    <v>45000</v>
  </rv>
  <rv s="2">
    <v>560</v>
  </rv>
  <rv s="0">
    <v>https://www.bing.com/financeapi/forcetrigger?t=azh5a2&amp;q=BVMF%3aB3SA3&amp;form=skydnc</v>
    <v>Learn more on Bing</v>
  </rv>
  <rv s="8">
    <v>pt-BR</v>
    <v>azh5a2</v>
    <v>268435456</v>
    <v>1</v>
    <v>Da plataforma Refinitiv</v>
    <v>14</v>
    <v>15</v>
    <v>B3 S.A - Brasil, Bolsa, Balcão (BVMF:B3SA3)</v>
    <v>12</v>
    <v>16</v>
    <v>Finance</v>
    <v>5</v>
    <v>15.03</v>
    <v>8.84</v>
    <v>BVMF</v>
    <v>5426500000</v>
    <v>12.91</v>
    <v>2007</v>
    <v>12.42</v>
    <v>1.5048999999999999</v>
    <v>B3 - Brazil Stock Exchange</v>
    <v>68319630000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12.58</v>
    <v>2135</v>
    <v>45870.958333333336</v>
    <v>562</v>
    <v>21492130</v>
    <v>BRL</v>
    <v>B3 S.A - Brasil, Bolsa, Balcão</v>
    <v>B3 S.A - Brasil, Bolsa, Balcão</v>
    <v>12.71</v>
    <v>12.59</v>
    <v>Praca Antonio Prado, 48 7 andar, Centro, SAO PAULO, SAO PAULO, 01.010-901 BR</v>
    <v>Investment Banking &amp; Investment Services</v>
    <v>B3SA3</v>
    <v>Ações</v>
    <v>B3 S.A - Brasil, Bolsa, Balcão (BVMF:B3SA3)</v>
    <v>0.01</v>
    <v>7.9490000000000008E-4</v>
    <v>22195800</v>
  </rv>
  <rv s="2">
    <v>563</v>
  </rv>
  <rv s="0">
    <v>https://www.bing.com/financeapi/forcetrigger?t=c33rbh&amp;q=BVMF%3aKRSA3&amp;form=skydnc</v>
    <v>Learn more on Bing</v>
  </rv>
  <rv s="7">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565</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566</v>
  </rv>
  <rv s="0">
    <v>https://www.bing.com/financeapi/forcetrigger?t=apm2pr&amp;q=BVMF%3aBOBR4&amp;form=skydnc</v>
    <v>Learn more on Bing</v>
  </rv>
  <rv s="8">
    <v>pt-BR</v>
    <v>apm2pr</v>
    <v>268435456</v>
    <v>1</v>
    <v>Da plataforma Refinitiv</v>
    <v>14</v>
    <v>15</v>
    <v>BOMBRIL S.A. (BVMF:BOBR4)</v>
    <v>12</v>
    <v>16</v>
    <v>Finance</v>
    <v>5</v>
    <v>3.06</v>
    <v>1.31</v>
    <v>BVMF</v>
    <v>260509800</v>
    <v>1.38</v>
    <v>1948</v>
    <v>1.36</v>
    <v>0.91510000000000002</v>
    <v>B3 - Brazil Stock Exchange</v>
    <v>354293300</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1.35</v>
    <v>2911</v>
    <v>45870.958333333336</v>
    <v>568</v>
    <v>7870</v>
    <v>BRL</v>
    <v>BOMBRIL S.A.</v>
    <v>BOMBRIL S.A.</v>
    <v>1.37</v>
    <v>1.36</v>
    <v>Via Anchieta, KM 14,S/N, Rudge Ramos, SAO BERNARDO DO CAMPO, SAO PAULO, 09.696-000 BR</v>
    <v>Personal &amp; Household Products &amp; Services</v>
    <v>BOBR4</v>
    <v>Ações</v>
    <v>BOMBRIL S.A. (BVMF:BOBR4)</v>
    <v>0.01</v>
    <v>7.4070000000000004E-3</v>
    <v>500</v>
  </rv>
  <rv s="2">
    <v>569</v>
  </rv>
  <rv s="0">
    <v>https://www.bing.com/financeapi/forcetrigger?t=apmivh&amp;q=BVMF%3aETER3&amp;form=skydnc</v>
    <v>Learn more on Bing</v>
  </rv>
  <rv s="8">
    <v>pt-BR</v>
    <v>apmivh</v>
    <v>268435456</v>
    <v>1</v>
    <v>Da plataforma Refinitiv</v>
    <v>14</v>
    <v>15</v>
    <v>Eternit S.A. - Em Recuperação Judicial (BVMF:ETER3)</v>
    <v>12</v>
    <v>16</v>
    <v>Finance</v>
    <v>5</v>
    <v>7.03</v>
    <v>3.58</v>
    <v>BVMF</v>
    <v>61776580</v>
    <v>3.91</v>
    <v>1940</v>
    <v>3.7</v>
    <v>1.8521000000000001</v>
    <v>B3 - Brazil Stock Exchange</v>
    <v>241546400</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3.74</v>
    <v>631</v>
    <v>45870.958333333336</v>
    <v>571</v>
    <v>104750</v>
    <v>BRL</v>
    <v>Eternit S.A. - Em Recuperação Judicial</v>
    <v>Eternit S.A. - Em Recuperação Judicial</v>
    <v>3.7</v>
    <v>3.91</v>
    <v>Rua Dr. Fernandes Coelho, 85, 8 andar, Pinheiros, SAO PAULO, SAO PAULO, 05.423-040 BR</v>
    <v>Construction Materials</v>
    <v>ETER3</v>
    <v>Ações</v>
    <v>Eternit S.A. - Em Recuperação Judicial (BVMF:ETER3)</v>
    <v>0.17</v>
    <v>4.5454999999999995E-2</v>
    <v>147700</v>
  </rv>
  <rv s="2">
    <v>572</v>
  </rv>
  <rv s="0">
    <v>https://www.bing.com/financeapi/forcetrigger?t=bxgbu2&amp;q=BVMF%3aESPA3&amp;form=skydnc</v>
    <v>Learn more on Bing</v>
  </rv>
  <rv s="8">
    <v>pt-BR</v>
    <v>bxgbu2</v>
    <v>268435456</v>
    <v>1</v>
    <v>Da plataforma Refinitiv</v>
    <v>14</v>
    <v>15</v>
    <v>MPM Corpóreos S.A. (BVMF:ESPA3)</v>
    <v>12</v>
    <v>16</v>
    <v>Finance</v>
    <v>5</v>
    <v>1.23</v>
    <v>0.66</v>
    <v>BVMF</v>
    <v>361423100</v>
    <v>1.06</v>
    <v>2016</v>
    <v>1.02</v>
    <v>1.5874999999999999</v>
    <v>B3 - Brazil Stock Exchange</v>
    <v>379494200</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1.03</v>
    <v>3038</v>
    <v>45870.958333333336</v>
    <v>574</v>
    <v>204300</v>
    <v>BRL</v>
    <v>MPM Corpóreos S.A.</v>
    <v>MPM Corpóreos S.A.</v>
    <v>1.02</v>
    <v>1.05</v>
    <v>Avenida dos Eucaliptos, no 763 sala 2, Indianopolis, Sao Paulo, SAO PAULO, 04.517-050 BR</v>
    <v>Personal &amp; Household Products &amp; Services</v>
    <v>ESPA3</v>
    <v>Ações</v>
    <v>MPM Corpóreos S.A. (BVMF:ESPA3)</v>
    <v>0.02</v>
    <v>1.9417E-2</v>
    <v>98800</v>
  </rv>
  <rv s="2">
    <v>575</v>
  </rv>
  <rv s="0">
    <v>https://www.bing.com/financeapi/forcetrigger?t=c1o4r7&amp;q=BVMF%3aMATD3&amp;form=skydnc</v>
    <v>Learn more on Bing</v>
  </rv>
  <rv s="8">
    <v>pt-BR</v>
    <v>c1o4r7</v>
    <v>268435456</v>
    <v>1</v>
    <v>Da plataforma Refinitiv</v>
    <v>14</v>
    <v>15</v>
    <v>Hospital Mater Dei S.A. (BVMF:MATD3)</v>
    <v>12</v>
    <v>16</v>
    <v>Finance</v>
    <v>5</v>
    <v>5.1100000000000003</v>
    <v>3.3</v>
    <v>BVMF</v>
    <v>339428000</v>
    <v>4.45</v>
    <v>1973</v>
    <v>4.18</v>
    <v>1.5677000000000001</v>
    <v>B3 - Brazil Stock Exchange</v>
    <v>1435781000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4.3099999999999996</v>
    <v>3677</v>
    <v>45870.958333333336</v>
    <v>577</v>
    <v>318660</v>
    <v>BRL</v>
    <v>Hospital Mater Dei S.A.</v>
    <v>Hospital Mater Dei S.A.</v>
    <v>4.32</v>
    <v>4.2300000000000004</v>
    <v>R Mato Grosso 1100, Santo Agostinho, BELO HORIZONTE, MINAS GERAIS, 30.190-081 BR</v>
    <v>Healthcare Providers &amp; Services</v>
    <v>MATD3</v>
    <v>Ações</v>
    <v>Hospital Mater Dei S.A. (BVMF:MATD3)</v>
    <v>-0.08</v>
    <v>-1.8561000000000001E-2</v>
    <v>319000</v>
  </rv>
  <rv s="2">
    <v>578</v>
  </rv>
  <rv s="0">
    <v>https://www.bing.com/financeapi/forcetrigger?t=c2vma2&amp;q=BVMF%3aTRAD3&amp;form=skydnc</v>
    <v>Learn more on Bing</v>
  </rv>
  <rv s="8">
    <v>pt-BR</v>
    <v>c2vma2</v>
    <v>268435456</v>
    <v>1</v>
    <v>Da plataforma Refinitiv</v>
    <v>14</v>
    <v>15</v>
    <v>TC S.A. (BVMF:TRAD3)</v>
    <v>12</v>
    <v>16</v>
    <v>Finance</v>
    <v>5</v>
    <v>9.4499999999999993</v>
    <v>2.42</v>
    <v>BVMF</v>
    <v>40021020</v>
    <v>6.94</v>
    <v>2016</v>
    <v>6.68</v>
    <v>0.53800000000000003</v>
    <v>B3 - Brazil Stock Exchange</v>
    <v>267340400</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6.95</v>
    <v>179</v>
    <v>45870.958333333336</v>
    <v>580</v>
    <v>15760</v>
    <v>BRL</v>
    <v>TC S.A.</v>
    <v>TC S.A.</v>
    <v>6.87</v>
    <v>6.68</v>
    <v>Avenida Presidente Juscelino Kubitschek, n 1830 Torre2, 5 andar,cj52, Vila Nova Conceicao, SAO PAULO, SAO PAULO, 04.543-900 BR</v>
    <v>Professional &amp; Business Education</v>
    <v>TRAD3</v>
    <v>Ações</v>
    <v>TC S.A. (BVMF:TRAD3)</v>
    <v>-0.27</v>
    <v>-3.8849000000000002E-2</v>
    <v>2300</v>
  </rv>
  <rv s="2">
    <v>581</v>
  </rv>
  <rv s="0">
    <v>https://www.bing.com/financeapi/forcetrigger?t=apnl4c&amp;q=BVMF%3aVULC3&amp;form=skydnc</v>
    <v>Learn more on Bing</v>
  </rv>
  <rv s="8">
    <v>pt-BR</v>
    <v>apnl4c</v>
    <v>268435456</v>
    <v>1</v>
    <v>Da plataforma Refinitiv</v>
    <v>14</v>
    <v>15</v>
    <v>Vulcabras S/A (BVMF:VULC3)</v>
    <v>12</v>
    <v>16</v>
    <v>Finance</v>
    <v>5</v>
    <v>21.84</v>
    <v>13.75</v>
    <v>BVMF</v>
    <v>275536300</v>
    <v>19.12</v>
    <v>1952</v>
    <v>18.39</v>
    <v>0.94610000000000005</v>
    <v>B3 - Brazil Stock Exchange</v>
    <v>5119463000</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18.82</v>
    <v>23878</v>
    <v>45870.958333333336</v>
    <v>583</v>
    <v>620370</v>
    <v>BRL</v>
    <v>Vulcabras S/A</v>
    <v>Vulcabras S/A</v>
    <v>18.84</v>
    <v>18.579999999999998</v>
    <v>Av. Antonio Frederico Ozanan, 1440, Da Grama, JUNDIAI, SAO PAULO, 13.219-001 BR</v>
    <v>Textiles &amp; Apparel</v>
    <v>VULC3</v>
    <v>Ações</v>
    <v>Vulcabras S/A (BVMF:VULC3)</v>
    <v>-0.24</v>
    <v>-1.2751999999999999E-2</v>
    <v>374000</v>
  </rv>
  <rv s="2">
    <v>584</v>
  </rv>
  <rv s="0">
    <v>https://www.bing.com/financeapi/forcetrigger?t=apmw4c&amp;q=BVMF%3aLUPA3&amp;form=skydnc</v>
    <v>Learn more on Bing</v>
  </rv>
  <rv s="8">
    <v>pt-BR</v>
    <v>apmw4c</v>
    <v>268435456</v>
    <v>1</v>
    <v>Da plataforma Refinitiv</v>
    <v>14</v>
    <v>15</v>
    <v>LUPATECH S.A (BVMF:LUPA3)</v>
    <v>12</v>
    <v>16</v>
    <v>Finance</v>
    <v>5</v>
    <v>1.74</v>
    <v>1.1299999999999999</v>
    <v>BVMF</v>
    <v>43716190</v>
    <v>1.17</v>
    <v>1980</v>
    <v>1.1599999999999999</v>
    <v>1.802</v>
    <v>B3 - Brazil Stock Exchange</v>
    <v>51147940</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1.1599999999999999</v>
    <v>448</v>
    <v>45870.958333333336</v>
    <v>586</v>
    <v>15750</v>
    <v>BRL</v>
    <v>LUPATECH S.A</v>
    <v>LUPATECH S.A</v>
    <v>1.1599999999999999</v>
    <v>1.17</v>
    <v>Rodovia Anhanguera, sentido interior/capital,KM 119, predio C, Distrito Industrial, NOVA ODESSA, SAO PAULO, 13.388-220 BR</v>
    <v>Machinery, Equipment &amp; Components</v>
    <v>LUPA3</v>
    <v>Ações</v>
    <v>LUPATECH S.A (BVMF:LUPA3)</v>
    <v>0.01</v>
    <v>8.6210000000000002E-3</v>
    <v>11600</v>
  </rv>
  <rv s="2">
    <v>587</v>
  </rv>
  <rv s="0">
    <v>https://www.bing.com/financeapi/forcetrigger?t=apmg77&amp;q=BVMF%3aECOR3&amp;form=skydnc</v>
    <v>Learn more on Bing</v>
  </rv>
  <rv s="8">
    <v>pt-BR</v>
    <v>apmg77</v>
    <v>268435456</v>
    <v>1</v>
    <v>Da plataforma Refinitiv</v>
    <v>14</v>
    <v>15</v>
    <v>ECORODOVIAS INFRAESTRUTURA E LOGÍSTICA S.A. (BVMF:ECOR3)</v>
    <v>12</v>
    <v>16</v>
    <v>Finance</v>
    <v>5</v>
    <v>8.2200000000000006</v>
    <v>3.97</v>
    <v>BVMF</v>
    <v>696334200</v>
    <v>7.04</v>
    <v>2000</v>
    <v>6.71</v>
    <v>1.6108</v>
    <v>B3 - Brazil Stock Exchange</v>
    <v>4693292508</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6.74</v>
    <v>5821</v>
    <v>45870.958333333336</v>
    <v>589</v>
    <v>3017210</v>
    <v>BRL</v>
    <v>ECORODOVIAS INFRAESTRUTURA E LOGÍSTICA S.A.</v>
    <v>ECORODOVIAS INFRAESTRUTURA E LOGÍSTICA S.A.</v>
    <v>6.81</v>
    <v>6.74</v>
    <v>Rua Gomes de Carvalho, n 1.510, Conjuntos 31/32, Vila Olimpia, SAO PAULO, SAO PAULO, 04.547-005 BR</v>
    <v>Transport Infrastructure</v>
    <v>ECOR3</v>
    <v>Ações</v>
    <v>ECORODOVIAS INFRAESTRUTURA E LOGÍSTICA S.A. (BVMF:ECOR3)</v>
    <v>0</v>
    <v>0</v>
    <v>3645200</v>
  </rv>
  <rv s="2">
    <v>590</v>
  </rv>
  <rv s="0">
    <v>https://www.bing.com/financeapi/forcetrigger?t=apn452&amp;q=BVMF%3aPDGR3&amp;form=skydnc</v>
    <v>Learn more on Bing</v>
  </rv>
  <rv s="9">
    <v>pt-BR</v>
    <v>apn452</v>
    <v>268435456</v>
    <v>1</v>
    <v>Da plataforma Refinitiv</v>
    <v>17</v>
    <v>18</v>
    <v>PDG Realty S.A. Empreendimentos e Participações (BVMF:PDGR3)</v>
    <v>12</v>
    <v>19</v>
    <v>Finance</v>
    <v>5</v>
    <v>27.5</v>
    <v>0.2</v>
    <v>BVMF</v>
    <v>29691030</v>
    <v>0.22</v>
    <v>1998</v>
    <v>0.2</v>
    <v>1.7654000000000001</v>
    <v>B3 - Brazil Stock Exchange</v>
    <v>6532030</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0.21</v>
    <v>45870.958333333336</v>
    <v>592</v>
    <v>366650</v>
    <v>BRL</v>
    <v>PDG Realty S.A. Empreendimentos e Participações</v>
    <v>PDG Realty S.A. Empreendimentos e Participações</v>
    <v>0.21</v>
    <v>0.22</v>
    <v>Av. Dr. Cardoso de Melo 1855, 6 andar, Vila Olimpia, SAO PAULO, SAO PAULO, 04.548-005 BR</v>
    <v>Holding Companies</v>
    <v>PDGR3</v>
    <v>Ações</v>
    <v>PDG Realty S.A. Empreendimentos e Participações (BVMF:PDGR3)</v>
    <v>0.01</v>
    <v>4.7618999999999995E-2</v>
    <v>338200</v>
  </rv>
  <rv s="2">
    <v>593</v>
  </rv>
  <rv s="0">
    <v>https://www.bing.com/financeapi/forcetrigger?t=apmamw&amp;q=BVMF%3aCOCE5&amp;form=skydnc</v>
    <v>Learn more on Bing</v>
  </rv>
  <rv s="8">
    <v>pt-BR</v>
    <v>apmamw</v>
    <v>268435456</v>
    <v>1</v>
    <v>Da plataforma Refinitiv</v>
    <v>14</v>
    <v>15</v>
    <v>Companhia Energética do Ceará (BVMF:COCE5)</v>
    <v>12</v>
    <v>16</v>
    <v>Finance</v>
    <v>5</v>
    <v>30.9</v>
    <v>22.25</v>
    <v>BVMF</v>
    <v>86302020</v>
    <v>28.79</v>
    <v>1971</v>
    <v>28</v>
    <v>0.3085</v>
    <v>B3 - Brazil Stock Exchange</v>
    <v>2607416000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28.2</v>
    <v>2098</v>
    <v>45870.958333333336</v>
    <v>595</v>
    <v>13160</v>
    <v>BRL</v>
    <v>Companhia Energética do Ceará</v>
    <v>Companhia Energética do Ceará</v>
    <v>28.69</v>
    <v>28.79</v>
    <v>R Padre Valdevino 150, Centro, FORTALEZA, CEARA, 60.135-040 BR</v>
    <v>Electrical Utilities &amp; IPPs</v>
    <v>COCE5</v>
    <v>Ações</v>
    <v>Companhia Energética do Ceará (BVMF:COCE5)</v>
    <v>0.59</v>
    <v>2.0922E-2</v>
    <v>8600</v>
  </rv>
  <rv s="2">
    <v>596</v>
  </rv>
  <rv s="0">
    <v>https://www.bing.com/financeapi/forcetrigger?t=bskpw7&amp;q=BVMF%3aCEAB3&amp;form=skydnc</v>
    <v>Learn more on Bing</v>
  </rv>
  <rv s="8">
    <v>pt-BR</v>
    <v>bskpw7</v>
    <v>268435456</v>
    <v>1</v>
    <v>Da plataforma Refinitiv</v>
    <v>14</v>
    <v>15</v>
    <v>C&amp;A MODAS S.A. (BVMF:CEAB3)</v>
    <v>12</v>
    <v>16</v>
    <v>Finance</v>
    <v>5</v>
    <v>21.3</v>
    <v>7.3</v>
    <v>BVMF</v>
    <v>308245100</v>
    <v>17.34</v>
    <v>1981</v>
    <v>16.82</v>
    <v>2.0958999999999999</v>
    <v>B3 - Brazil Stock Exchange</v>
    <v>5261743000</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16.47</v>
    <v>15000</v>
    <v>45870.958333333336</v>
    <v>598</v>
    <v>2634060</v>
    <v>BRL</v>
    <v>C&amp;A MODAS S.A.</v>
    <v>C&amp;A MODAS S.A.</v>
    <v>16.95</v>
    <v>17.07</v>
    <v>Alameda Araguaia, 1.222/1.022, Alphaville, BARUERI, SAO PAULO, 06.455-000 BR</v>
    <v>Specialty Retailers</v>
    <v>CEAB3</v>
    <v>Ações</v>
    <v>C&amp;A MODAS S.A. (BVMF:CEAB3)</v>
    <v>0.6</v>
    <v>3.6429999999999997E-2</v>
    <v>2319400</v>
  </rv>
  <rv s="2">
    <v>599</v>
  </rv>
  <rv s="0">
    <v>https://www.bing.com/financeapi/forcetrigger?t=bv5ur7&amp;q=BVMF%3aAMBP3&amp;form=skydnc</v>
    <v>Learn more on Bing</v>
  </rv>
  <rv s="9">
    <v>pt-BR</v>
    <v>bv5ur7</v>
    <v>268435456</v>
    <v>1</v>
    <v>Da plataforma Refinitiv</v>
    <v>17</v>
    <v>18</v>
    <v>Ambipar Participações e Empreendimentos S.A. (BVMF:AMBP3)</v>
    <v>12</v>
    <v>19</v>
    <v>Finance</v>
    <v>5</v>
    <v>268.51</v>
    <v>51.78</v>
    <v>BVMF</v>
    <v>167041900</v>
    <v>136.99</v>
    <v>2010</v>
    <v>130.07</v>
    <v>1.6027</v>
    <v>B3 - Brazil Stock Exchange</v>
    <v>22717690000</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130.86000000000001</v>
    <v>45870.958333333336</v>
    <v>601</v>
    <v>38710</v>
    <v>BRL</v>
    <v>Ambipar Participações e Empreendimentos S.A.</v>
    <v>Ambipar Participações e Empreendimentos S.A.</v>
    <v>131.04</v>
    <v>136</v>
    <v>Av Pacaembu 1088 Sala 09, Pacaembu, SAO PAULO, SAO PAULO, 01.234-000 BR</v>
    <v>Professional &amp; Commercial Services</v>
    <v>AMBP3</v>
    <v>Ações</v>
    <v>Ambipar Participações e Empreendimentos S.A. (BVMF:AMBP3)</v>
    <v>5.14</v>
    <v>3.9279000000000001E-2</v>
    <v>22100</v>
  </rv>
  <rv s="2">
    <v>602</v>
  </rv>
  <rv s="0">
    <v>https://www.bing.com/financeapi/forcetrigger?t=bwzurw&amp;q=BVMF%3aNGRD3&amp;form=skydnc</v>
    <v>Learn more on Bing</v>
  </rv>
  <rv s="8">
    <v>pt-BR</v>
    <v>bwzurw</v>
    <v>268435456</v>
    <v>1</v>
    <v>Da plataforma Refinitiv</v>
    <v>14</v>
    <v>15</v>
    <v>Neogrid Participações S.A (BVMF:NGRD3)</v>
    <v>12</v>
    <v>16</v>
    <v>Finance</v>
    <v>5</v>
    <v>35</v>
    <v>18.23</v>
    <v>BVMF</v>
    <v>9140940</v>
    <v>25.98</v>
    <v>2008</v>
    <v>24.9</v>
    <v>1.0530999999999999</v>
    <v>B3 - Brazil Stock Exchange</v>
    <v>231905700</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25.8</v>
    <v>719</v>
    <v>45870.958333333336</v>
    <v>604</v>
    <v>11990</v>
    <v>BRL</v>
    <v>Neogrid Participações S.A</v>
    <v>Neogrid Participações S.A</v>
    <v>25.41</v>
    <v>25.37</v>
    <v>Avenida Santos Dumont, 935 1 andar, Santo Antonio, Joinville, SANTA CATARINA, 89.218-105 BR</v>
    <v>Software &amp; IT Services</v>
    <v>NGRD3</v>
    <v>Ações</v>
    <v>Neogrid Participações S.A (BVMF:NGRD3)</v>
    <v>-0.43</v>
    <v>-1.6667000000000001E-2</v>
    <v>8600</v>
  </rv>
  <rv s="2">
    <v>605</v>
  </rv>
  <rv s="0">
    <v>https://www.bing.com/financeapi/forcetrigger?t=apm6k2&amp;q=BVMF%3aCAML3&amp;form=skydnc</v>
    <v>Learn more on Bing</v>
  </rv>
  <rv s="8">
    <v>pt-BR</v>
    <v>apm6k2</v>
    <v>268435456</v>
    <v>1</v>
    <v>Da plataforma Refinitiv</v>
    <v>14</v>
    <v>15</v>
    <v>CAMIL ALIMENTOS S.A. (BVMF:CAML3)</v>
    <v>12</v>
    <v>16</v>
    <v>Finance</v>
    <v>5</v>
    <v>9.6300000000000008</v>
    <v>3.38</v>
    <v>BVMF</v>
    <v>350000000</v>
    <v>4.5999999999999996</v>
    <v>1990</v>
    <v>4.47</v>
    <v>0.39860000000000001</v>
    <v>B3 - Brazil Stock Exchange</v>
    <v>1582000000</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4.54</v>
    <v>7000</v>
    <v>45870.958333333336</v>
    <v>607</v>
    <v>1575330</v>
    <v>BRL</v>
    <v>CAMIL ALIMENTOS S.A.</v>
    <v>CAMIL ALIMENTOS S.A.</v>
    <v>4.57</v>
    <v>4.5199999999999996</v>
    <v>Av. Doutora Ruth Cardoso 8501, 12 andar, Pinheiros, Eldorado Business Tower, SAO PAULO, SAO PAULO, 05.425-070 BR</v>
    <v>Food &amp; Tobacco</v>
    <v>CAML3</v>
    <v>Ações</v>
    <v>CAMIL ALIMENTOS S.A. (BVMF:CAML3)</v>
    <v>-0.02</v>
    <v>-4.4050000000000001E-3</v>
    <v>2214500</v>
  </rv>
  <rv s="2">
    <v>608</v>
  </rv>
  <rv s="0">
    <v>https://www.bing.com/financeapi/forcetrigger?t=apml3m&amp;q=BVMF%3aTASA3&amp;form=skydnc</v>
    <v>Learn more on Bing</v>
  </rv>
  <rv s="8">
    <v>pt-BR</v>
    <v>apml3m</v>
    <v>268435456</v>
    <v>1</v>
    <v>Da plataforma Refinitiv</v>
    <v>14</v>
    <v>15</v>
    <v>Taurus Armas S.A (BVMF:TASA3)</v>
    <v>12</v>
    <v>16</v>
    <v>Finance</v>
    <v>5</v>
    <v>10.65</v>
    <v>5.35</v>
    <v>BVMF</v>
    <v>139297900</v>
    <v>6.48</v>
    <v>1939</v>
    <v>5.85</v>
    <v>1.2639</v>
    <v>B3 - Brazil Stock Exchange</v>
    <v>759764500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5.87</v>
    <v>3286</v>
    <v>45870.958333333336</v>
    <v>610</v>
    <v>788660</v>
    <v>BRL</v>
    <v>Taurus Armas S.A</v>
    <v>Taurus Armas S.A</v>
    <v>5.98</v>
    <v>6.48</v>
    <v>Avenida Sao Borja 2181/Predio A, Fazenda Sao Borja, SAO LEOPOLDO, RIO GRANDE DO SUL, 93.035-411 BR</v>
    <v>Aerospace &amp; Defense</v>
    <v>TASA3</v>
    <v>Ações</v>
    <v>Taurus Armas S.A (BVMF:TASA3)</v>
    <v>0.61</v>
    <v>0.103918</v>
    <v>37100</v>
  </rv>
  <rv s="2">
    <v>611</v>
  </rv>
  <rv s="0">
    <v>https://www.bing.com/financeapi/forcetrigger?t=bpryr7&amp;q=BVMF%3aSBFG3&amp;form=skydnc</v>
    <v>Learn more on Bing</v>
  </rv>
  <rv s="8">
    <v>pt-BR</v>
    <v>bpryr7</v>
    <v>268435456</v>
    <v>1</v>
    <v>Da plataforma Refinitiv</v>
    <v>14</v>
    <v>15</v>
    <v>GRUPO SBF S.A. (BVMF:SBFG3)</v>
    <v>12</v>
    <v>16</v>
    <v>Finance</v>
    <v>5</v>
    <v>17.91</v>
    <v>8.92</v>
    <v>BVMF</v>
    <v>244013000</v>
    <v>11.41</v>
    <v>2011</v>
    <v>10.92</v>
    <v>2.2343999999999999</v>
    <v>B3 - Brazil Stock Exchange</v>
    <v>2674382000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10.99</v>
    <v>8196</v>
    <v>45870.958333333336</v>
    <v>613</v>
    <v>2306860</v>
    <v>BRL</v>
    <v>GRUPO SBF S.A.</v>
    <v>GRUPO SBF S.A.</v>
    <v>11.13</v>
    <v>10.96</v>
    <v>Av Dra Ruth Cardoso 7221 Andar Ed Birman 3, Pinheiros, PINHEIROS, SAO PAULO, 05.425-902 BR</v>
    <v>Specialty Retailers</v>
    <v>SBFG3</v>
    <v>Ações</v>
    <v>GRUPO SBF S.A. (BVMF:SBFG3)</v>
    <v>-0.03</v>
    <v>-2.7300000000000002E-3</v>
    <v>1654000</v>
  </rv>
  <rv s="2">
    <v>614</v>
  </rv>
  <rv s="0">
    <v>https://www.bing.com/financeapi/forcetrigger?t=apnfbh&amp;q=BVMF%3aTECN3&amp;form=skydnc</v>
    <v>Learn more on Bing</v>
  </rv>
  <rv s="8">
    <v>pt-BR</v>
    <v>apnfbh</v>
    <v>268435456</v>
    <v>1</v>
    <v>Da plataforma Refinitiv</v>
    <v>14</v>
    <v>15</v>
    <v>TECHNOS S.A. (BVMF:TECN3)</v>
    <v>12</v>
    <v>16</v>
    <v>Finance</v>
    <v>5</v>
    <v>7.26</v>
    <v>4.46</v>
    <v>BVMF</v>
    <v>61856210</v>
    <v>6.14</v>
    <v>2007</v>
    <v>5.95</v>
    <v>0.88660000000000005</v>
    <v>B3 - Brazil Stock Exchange</v>
    <v>372374400</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6.08</v>
    <v>900</v>
    <v>45870.958333333336</v>
    <v>616</v>
    <v>45330</v>
    <v>BRL</v>
    <v>TECHNOS S.A.</v>
    <v>TECHNOS S.A.</v>
    <v>6.14</v>
    <v>6.02</v>
    <v>Avenida Das Americas, 4200 - Bloco 5 - 6 Andar, Barra Da Tijuca, RIO DE JANEIRO, RIO DE JANEIRO, 22.640-907 BR</v>
    <v>Specialty Retailers</v>
    <v>TECN3</v>
    <v>Ações</v>
    <v>TECHNOS S.A. (BVMF:TECN3)</v>
    <v>-0.06</v>
    <v>-9.868E-3</v>
    <v>69400</v>
  </rv>
  <rv s="2">
    <v>617</v>
  </rv>
  <rv s="0">
    <v>https://www.bing.com/financeapi/forcetrigger?t=apncxm&amp;q=BVMF%3aSMTO3&amp;form=skydnc</v>
    <v>Learn more on Bing</v>
  </rv>
  <rv s="8">
    <v>pt-BR</v>
    <v>apncxm</v>
    <v>268435456</v>
    <v>1</v>
    <v>Da plataforma Refinitiv</v>
    <v>14</v>
    <v>15</v>
    <v>São Martinho S.A. (BVMF:SMTO3)</v>
    <v>12</v>
    <v>16</v>
    <v>Finance</v>
    <v>5</v>
    <v>29.75</v>
    <v>16.52</v>
    <v>BVMF</v>
    <v>332435400</v>
    <v>17.670000000000002</v>
    <v>1943</v>
    <v>17</v>
    <v>0.37909999999999999</v>
    <v>B3 - Brazil Stock Exchange</v>
    <v>5668023000</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17.34</v>
    <v>7869</v>
    <v>45870.958333333336</v>
    <v>619</v>
    <v>2209910</v>
    <v>BRL</v>
    <v>São Martinho S.A.</v>
    <v>São Martinho S.A.</v>
    <v>17.399999999999999</v>
    <v>17.05</v>
    <v>Fazenda Sao Martinho, S/Nr., Zona Rural, PRADOPOLIS, SAO PAULO, 14.850-000 BR</v>
    <v>Food &amp; Tobacco</v>
    <v>SMTO3</v>
    <v>Ações</v>
    <v>São Martinho S.A. (BVMF:SMTO3)</v>
    <v>-0.28999999999999998</v>
    <v>-1.6724000000000003E-2</v>
    <v>2320600</v>
  </rv>
  <rv s="2">
    <v>620</v>
  </rv>
  <rv s="0">
    <v>https://www.bing.com/financeapi/forcetrigger?t=apn852&amp;q=BVMF%3aRANI3&amp;form=skydnc</v>
    <v>Learn more on Bing</v>
  </rv>
  <rv s="8">
    <v>pt-BR</v>
    <v>apn852</v>
    <v>268435456</v>
    <v>1</v>
    <v>Da plataforma Refinitiv</v>
    <v>14</v>
    <v>15</v>
    <v>IRANI PAPEL E EMBALAGEM S.A. (BVMF:RANI3)</v>
    <v>12</v>
    <v>16</v>
    <v>Finance</v>
    <v>5</v>
    <v>8.1999999999999993</v>
    <v>5.97</v>
    <v>BVMF</v>
    <v>239829900</v>
    <v>7.79</v>
    <v>1941</v>
    <v>7.52</v>
    <v>0.61919999999999997</v>
    <v>B3 - Brazil Stock Exchange</v>
    <v>1810716000</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7.46</v>
    <v>2348</v>
    <v>45870.958333333336</v>
    <v>622</v>
    <v>618270</v>
    <v>BRL</v>
    <v>IRANI PAPEL E EMBALAGEM S.A.</v>
    <v>IRANI PAPEL E EMBALAGEM S.A.</v>
    <v>7.52</v>
    <v>7.55</v>
    <v>Avenida Carlos Gomes,n400, Edificio Joao Benjamin Zaffari, salas 502/503, Boa Vista, PORTO ALEGRE, RIO GRANDE DO SUL, 90.480-900 BR</v>
    <v>Containers &amp; Packaging</v>
    <v>RANI3</v>
    <v>Ações</v>
    <v>IRANI PAPEL E EMBALAGEM S.A. (BVMF:RANI3)</v>
    <v>0.09</v>
    <v>1.2063999999999998E-2</v>
    <v>1325000</v>
  </rv>
  <rv s="2">
    <v>623</v>
  </rv>
  <rv s="0">
    <v>https://www.bing.com/financeapi/forcetrigger?t=bvlnz2&amp;q=BVMF%3aPETZ3&amp;form=skydnc</v>
    <v>Learn more on Bing</v>
  </rv>
  <rv s="9">
    <v>pt-BR</v>
    <v>bvlnz2</v>
    <v>268435456</v>
    <v>1</v>
    <v>Da plataforma Refinitiv</v>
    <v>17</v>
    <v>18</v>
    <v>Pet Center Comércio e Participações S.A. (BVMF:PETZ3)</v>
    <v>12</v>
    <v>19</v>
    <v>Finance</v>
    <v>5</v>
    <v>5.57</v>
    <v>3.23</v>
    <v>BVMF</v>
    <v>462739900</v>
    <v>4.0999999999999996</v>
    <v>2013</v>
    <v>4</v>
    <v>1.1625000000000001</v>
    <v>B3 - Brazil Stock Exchange</v>
    <v>1869469000</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3.96</v>
    <v>45870.958333333336</v>
    <v>625</v>
    <v>4845750</v>
    <v>BRL</v>
    <v>Pet Center Comércio e Participações S.A.</v>
    <v>Pet Center Comércio e Participações S.A.</v>
    <v>4.01</v>
    <v>4.04</v>
    <v>Rua Guaranta, 555/587 Sala 1, Pari, SAO PAULO, SAO PAULO, 03.035-050 BR</v>
    <v>Specialty Retailers</v>
    <v>PETZ3</v>
    <v>Ações</v>
    <v>Pet Center Comércio e Participações S.A. (BVMF:PETZ3)</v>
    <v>0.08</v>
    <v>2.0202000000000001E-2</v>
    <v>4639800</v>
  </rv>
  <rv s="2">
    <v>626</v>
  </rv>
  <rv s="0">
    <v>https://www.bing.com/financeapi/forcetrigger?t=apnh77&amp;q=BVMF%3aTOTS3&amp;form=skydnc</v>
    <v>Learn more on Bing</v>
  </rv>
  <rv s="9">
    <v>pt-BR</v>
    <v>apnh77</v>
    <v>268435456</v>
    <v>1</v>
    <v>Da plataforma Refinitiv</v>
    <v>17</v>
    <v>18</v>
    <v>TOTVS S.A. (BVMF:TOTS3)</v>
    <v>12</v>
    <v>19</v>
    <v>Finance</v>
    <v>5</v>
    <v>44.29</v>
    <v>25.69</v>
    <v>BVMF</v>
    <v>599401600</v>
    <v>44.19</v>
    <v>1983</v>
    <v>43.11</v>
    <v>0.97519999999999996</v>
    <v>B3 - Brazil Stock Exchange</v>
    <v>26253790000</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43.61</v>
    <v>45870.958333333336</v>
    <v>628</v>
    <v>3242320</v>
    <v>BRL</v>
    <v>TOTVS S.A.</v>
    <v>TOTVS S.A.</v>
    <v>43.99</v>
    <v>43.8</v>
    <v>Avenida Braz Leme 1000, Casa Verde, SAO PAULO, SAO PAULO, 02.511-000 BR</v>
    <v>Software &amp; IT Services</v>
    <v>TOTS3</v>
    <v>Ações</v>
    <v>TOTVS S.A. (BVMF:TOTS3)</v>
    <v>0.19</v>
    <v>4.3569999999999998E-3</v>
    <v>2406900</v>
  </rv>
  <rv s="2">
    <v>629</v>
  </rv>
  <rv s="0">
    <v>https://www.bing.com/financeapi/forcetrigger?t=apmipr&amp;q=BVMF%3aYDUQ3&amp;form=skydnc</v>
    <v>Learn more on Bing</v>
  </rv>
  <rv s="8">
    <v>pt-BR</v>
    <v>apmipr</v>
    <v>268435456</v>
    <v>1</v>
    <v>Da plataforma Refinitiv</v>
    <v>14</v>
    <v>15</v>
    <v>YDUQS Participações S.A. (BVMF:YDUQ3)</v>
    <v>12</v>
    <v>16</v>
    <v>Finance</v>
    <v>5</v>
    <v>17.8</v>
    <v>7.54</v>
    <v>BVMF</v>
    <v>274088800</v>
    <v>13.37</v>
    <v>2007</v>
    <v>12.85</v>
    <v>2.0489999999999999</v>
    <v>B3 - Brazil Stock Exchange</v>
    <v>3565896000</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12.94</v>
    <v>16000</v>
    <v>45870.958333333336</v>
    <v>631</v>
    <v>4783230</v>
    <v>BRL</v>
    <v>YDUQS Participações S.A.</v>
    <v>YDUQS Participações S.A.</v>
    <v>13.2</v>
    <v>13.01</v>
    <v>Avenida Venezuela 43, 6 andar, Saude, RIO DE JANEIRO, RIO DE JANEIRO, 20.081-311 BR</v>
    <v>School, College &amp; University</v>
    <v>YDUQ3</v>
    <v>Ações</v>
    <v>YDUQS Participações S.A. (BVMF:YDUQ3)</v>
    <v>7.0000000000000007E-2</v>
    <v>5.4100000000000007E-3</v>
    <v>5649500</v>
  </rv>
  <rv s="2">
    <v>632</v>
  </rv>
  <rv s="0">
    <v>https://www.bing.com/financeapi/forcetrigger?t=bvs1lh&amp;q=BVMF%3aJSLG3&amp;form=skydnc</v>
    <v>Learn more on Bing</v>
  </rv>
  <rv s="8">
    <v>pt-BR</v>
    <v>bvs1lh</v>
    <v>268435456</v>
    <v>1</v>
    <v>Da plataforma Refinitiv</v>
    <v>14</v>
    <v>15</v>
    <v>JSL S.A. (BVMF:JSLG3)</v>
    <v>12</v>
    <v>16</v>
    <v>Finance</v>
    <v>5</v>
    <v>9.6199999999999992</v>
    <v>5</v>
    <v>BVMF</v>
    <v>286431100</v>
    <v>5.42</v>
    <v>1969</v>
    <v>5.13</v>
    <v>1.4782999999999999</v>
    <v>B3 - Brazil Stock Exchange</v>
    <v>1469391000</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5.23</v>
    <v>28000</v>
    <v>45870.958333333336</v>
    <v>634</v>
    <v>377390</v>
    <v>BRL</v>
    <v>JSL S.A.</v>
    <v>JSL S.A.</v>
    <v>5.35</v>
    <v>5.13</v>
    <v>Rua Doutor Renato Paes de Barros, 1017, Conjunto 91,ED. Corporate Park, Itaim Bibi, SAO PAULO, SAO PAULO, 04.530-001 BR</v>
    <v>Freight &amp; Logistics Services</v>
    <v>JSLG3</v>
    <v>Ações</v>
    <v>JSL S.A. (BVMF:JSLG3)</v>
    <v>-0.1</v>
    <v>-1.9119999999999998E-2</v>
    <v>584400</v>
  </rv>
  <rv s="2">
    <v>635</v>
  </rv>
  <rv s="0">
    <v>https://www.bing.com/financeapi/forcetrigger?t=c337yc&amp;q=BVMF%3aONCO3&amp;form=skydnc</v>
    <v>Learn more on Bing</v>
  </rv>
  <rv s="9">
    <v>pt-BR</v>
    <v>c337yc</v>
    <v>268435456</v>
    <v>1</v>
    <v>Da plataforma Refinitiv</v>
    <v>17</v>
    <v>18</v>
    <v>Oncoclínicas do Brasil Serviços Médicos S.A. (BVMF:ONCO3)</v>
    <v>12</v>
    <v>19</v>
    <v>Finance</v>
    <v>5</v>
    <v>7.29</v>
    <v>1.74</v>
    <v>BVMF</v>
    <v>651756300</v>
    <v>5.65</v>
    <v>2010</v>
    <v>5.4</v>
    <v>1.3499000000000001</v>
    <v>B3 - Brazil Stock Exchange</v>
    <v>3682423000</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5.45</v>
    <v>45870.958333333336</v>
    <v>637</v>
    <v>1257340</v>
    <v>BRL</v>
    <v>Oncoclínicas do Brasil Serviços Médicos S.A.</v>
    <v>Oncoclínicas do Brasil Serviços Médicos S.A.</v>
    <v>5.47</v>
    <v>5.65</v>
    <v>Avenida Presidente Juscelino Kubitschek, n 510 2 andar, Vila Nova Conceicao, SAO PAULO, SAO PAULO, 04.543-906 BR</v>
    <v>Healthcare Providers &amp; Services</v>
    <v>ONCO3</v>
    <v>Ações</v>
    <v>Oncoclínicas do Brasil Serviços Médicos S.A. (BVMF:ONCO3)</v>
    <v>0.2</v>
    <v>3.6697E-2</v>
    <v>861600</v>
  </rv>
  <rv s="2">
    <v>638</v>
  </rv>
  <rv s="0">
    <v>https://www.bing.com/financeapi/forcetrigger?t=apltk2&amp;q=BVMF%3aAALR3&amp;form=skydnc</v>
    <v>Learn more on Bing</v>
  </rv>
  <rv s="9">
    <v>pt-BR</v>
    <v>apltk2</v>
    <v>268435456</v>
    <v>1</v>
    <v>Da plataforma Refinitiv</v>
    <v>17</v>
    <v>18</v>
    <v>ALLIANÇA SAÚDE E PARTICIPAÇÕES S.A. (BVMF:AALR3)</v>
    <v>12</v>
    <v>19</v>
    <v>Finance</v>
    <v>5</v>
    <v>16.489999999999998</v>
    <v>3.88</v>
    <v>BVMF</v>
    <v>152359500</v>
    <v>5.0999999999999996</v>
    <v>1992</v>
    <v>4.9000000000000004</v>
    <v>0.88859999999999995</v>
    <v>B3 - Brazil Stock Exchange</v>
    <v>769415400</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4.9000000000000004</v>
    <v>45870.958333333336</v>
    <v>640</v>
    <v>44820</v>
    <v>BRL</v>
    <v>ALLIANÇA SAÚDE E PARTICIPAÇÕES S.A.</v>
    <v>ALLIANÇA SAÚDE E PARTICIPAÇÕES S.A.</v>
    <v>5.04</v>
    <v>5.05</v>
    <v>Avenida Presidente Juscelino Kubitschek, 1830, Sala 111 - Bloco 1, Vila Nova Conceicao, SAO PAULO, SAO PAULO, 04.543-900 BR</v>
    <v>Healthcare Providers &amp; Services</v>
    <v>AALR3</v>
    <v>Ações</v>
    <v>ALLIANÇA SAÚDE E PARTICIPAÇÕES S.A. (BVMF:AALR3)</v>
    <v>0.15</v>
    <v>3.0612E-2</v>
    <v>50400</v>
  </rv>
  <rv s="2">
    <v>641</v>
  </rv>
  <rv s="0">
    <v>https://www.bing.com/financeapi/forcetrigger?t=apmpqh&amp;q=BVMF%3aHBOR3&amp;form=skydnc</v>
    <v>Learn more on Bing</v>
  </rv>
  <rv s="8">
    <v>pt-BR</v>
    <v>apmpqh</v>
    <v>268435456</v>
    <v>1</v>
    <v>Da plataforma Refinitiv</v>
    <v>14</v>
    <v>15</v>
    <v>HELBOR EMPREENDIMENTOS S.A. (BVMF:HBOR3)</v>
    <v>12</v>
    <v>16</v>
    <v>Finance</v>
    <v>5</v>
    <v>3.2</v>
    <v>1.24</v>
    <v>BVMF</v>
    <v>133851100</v>
    <v>2.92</v>
    <v>1977</v>
    <v>2.82</v>
    <v>2.0093999999999999</v>
    <v>B3 - Brazil Stock Exchange</v>
    <v>382814100</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2.88</v>
    <v>183</v>
    <v>45870.958333333336</v>
    <v>643</v>
    <v>1644030</v>
    <v>BRL</v>
    <v>HELBOR EMPREENDIMENTOS S.A.</v>
    <v>HELBOR EMPREENDIMENTOS S.A.</v>
    <v>2.89</v>
    <v>2.86</v>
    <v>Av. Vereador Narciso Yague Guimaraes, N 1145,15 Andar, Jardim Armenia, MOGI DAS CRUZES, SAO PAULO, 08.780-500 BR</v>
    <v>Real Estate Operations</v>
    <v>HBOR3</v>
    <v>Ações</v>
    <v>HELBOR EMPREENDIMENTOS S.A. (BVMF:HBOR3)</v>
    <v>-0.02</v>
    <v>-6.9440000000000005E-3</v>
    <v>1170800</v>
  </rv>
  <rv s="2">
    <v>644</v>
  </rv>
  <rv s="0">
    <v>https://www.bing.com/financeapi/forcetrigger?t=apmbxm&amp;q=BVMF%3aCRPG5&amp;form=skydnc</v>
    <v>Learn more on Bing</v>
  </rv>
  <rv s="9">
    <v>pt-BR</v>
    <v>apmbxm</v>
    <v>268435456</v>
    <v>1</v>
    <v>Da plataforma Refinitiv</v>
    <v>17</v>
    <v>18</v>
    <v>Tronox Pigmentos do Brasil SA (BVMF:CRPG5)</v>
    <v>12</v>
    <v>19</v>
    <v>Finance</v>
    <v>5</v>
    <v>29.5</v>
    <v>15.3</v>
    <v>BVMF</v>
    <v>29018750</v>
    <v>15.75</v>
    <v>1966</v>
    <v>15.3</v>
    <v>0.82989999999999997</v>
    <v>B3 - Brazil Stock Exchange</v>
    <v>469255900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15.8</v>
    <v>45870.958333333336</v>
    <v>646</v>
    <v>1360</v>
    <v>BRL</v>
    <v>Tronox Pigmentos do Brasil SA</v>
    <v>Tronox Pigmentos do Brasil SA</v>
    <v>15.74</v>
    <v>15.3</v>
    <v>Rodovia Ba 099 Km 20 Centro, Abrantes, CAMACARI, BAHIA, 42.840-000 BR</v>
    <v>Chemicals</v>
    <v>CRPG5</v>
    <v>Ações</v>
    <v>Tronox Pigmentos do Brasil SA (BVMF:CRPG5)</v>
    <v>-0.5</v>
    <v>-3.1646000000000001E-2</v>
    <v>300</v>
  </rv>
  <rv s="2">
    <v>647</v>
  </rv>
  <rv s="0">
    <v>https://www.bing.com/financeapi/forcetrigger?t=apmvrw&amp;q=BVMF%3aLOGN3&amp;form=skydnc</v>
    <v>Learn more on Bing</v>
  </rv>
  <rv s="8">
    <v>pt-BR</v>
    <v>apmvrw</v>
    <v>268435456</v>
    <v>1</v>
    <v>Da plataforma Refinitiv</v>
    <v>14</v>
    <v>15</v>
    <v>LOG-IN LOGISTICA INTERMODAL S.A. (BVMF:LOGN3)</v>
    <v>12</v>
    <v>16</v>
    <v>Finance</v>
    <v>5</v>
    <v>38.659999999999997</v>
    <v>19.25</v>
    <v>BVMF</v>
    <v>107306500</v>
    <v>25.51</v>
    <v>1973</v>
    <v>25.07</v>
    <v>0.97299999999999998</v>
    <v>B3 - Brazil Stock Exchange</v>
    <v>2730950000</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25.51</v>
    <v>750</v>
    <v>45870.958333333336</v>
    <v>649</v>
    <v>11730</v>
    <v>BRL</v>
    <v>LOG-IN LOGISTICA INTERMODAL S.A.</v>
    <v>LOG-IN LOGISTICA INTERMODAL S.A.</v>
    <v>25.49</v>
    <v>25.45</v>
    <v>Rua do Passeio, 78 12 andar - 1201, Centro, RIO DE JANEIRO, RIO DE JANEIRO, 20.021-290 BR</v>
    <v>Freight &amp; Logistics Services</v>
    <v>LOGN3</v>
    <v>Ações</v>
    <v>LOG-IN LOGISTICA INTERMODAL S.A. (BVMF:LOGN3)</v>
    <v>-0.06</v>
    <v>-2.3519999999999999E-3</v>
    <v>4800</v>
  </rv>
  <rv s="2">
    <v>650</v>
  </rv>
  <rv s="0">
    <v>https://www.bing.com/financeapi/forcetrigger?t=bxgk6h&amp;q=BVMF%3aVAMO3&amp;form=skydnc</v>
    <v>Learn more on Bing</v>
  </rv>
  <rv s="8">
    <v>pt-BR</v>
    <v>bxgk6h</v>
    <v>268435456</v>
    <v>1</v>
    <v>Da plataforma Refinitiv</v>
    <v>14</v>
    <v>15</v>
    <v>Vamos Locação de Caminhões, Máquinas e Equipamentos S.A. (BVMF:VAMO3)</v>
    <v>12</v>
    <v>16</v>
    <v>Finance</v>
    <v>5</v>
    <v>7.83</v>
    <v>3.54</v>
    <v>BVMF</v>
    <v>1081033000</v>
    <v>4.04</v>
    <v>2015</v>
    <v>3.89</v>
    <v>1.2757000000000001</v>
    <v>B3 - Brazil Stock Exchange</v>
    <v>4205217000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3.84</v>
    <v>2291</v>
    <v>45870.958333333336</v>
    <v>652</v>
    <v>11362190</v>
    <v>BRL</v>
    <v>Vamos Locação de Caminhões, Máquinas e Equipamentos S.A.</v>
    <v>Vamos Locação de Caminhões, Máquinas e Equipamentos S.A.</v>
    <v>3.92</v>
    <v>3.89</v>
    <v>Rua Doutor Renato Paes de Barros, 1017, 6 andar, Itaim Bibi, SAO PAULO, SAO PAULO, 04.530-001 BR</v>
    <v>Freight &amp; Logistics Services</v>
    <v>VAMO3</v>
    <v>Ações</v>
    <v>Vamos Locação de Caminhões, Máquinas e Equipamentos S.A. (BVMF:VAMO3)</v>
    <v>0.05</v>
    <v>1.3021E-2</v>
    <v>13864000</v>
  </rv>
  <rv s="2">
    <v>653</v>
  </rv>
  <rv s="0">
    <v>https://www.bing.com/financeapi/forcetrigger?t=apmsww&amp;q=BVMF%3aJHSF3&amp;form=skydnc</v>
    <v>Learn more on Bing</v>
  </rv>
  <rv s="9">
    <v>pt-BR</v>
    <v>apmsww</v>
    <v>268435456</v>
    <v>1</v>
    <v>Da plataforma Refinitiv</v>
    <v>17</v>
    <v>18</v>
    <v>JHS F Participações S.A (BVMF:JHSF3)</v>
    <v>12</v>
    <v>19</v>
    <v>Finance</v>
    <v>5</v>
    <v>5.41</v>
    <v>3.39</v>
    <v>BVMF</v>
    <v>681322800</v>
    <v>5.24</v>
    <v>2006</v>
    <v>5.08</v>
    <v>1.5044</v>
    <v>B3 - Brazil Stock Exchange</v>
    <v>3515625000</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5.12</v>
    <v>45870.958333333336</v>
    <v>655</v>
    <v>2222810</v>
    <v>BRL</v>
    <v>JHS F Participações S.A</v>
    <v>JHS F Participações S.A</v>
    <v>5.15</v>
    <v>5.16</v>
    <v>Avenida Alcides Sangirardi s/n - 301 Usina SP Espaco C.01.01, Cidade Jardim, SAO PAULO, SAO PAULO, 05.672-015 BR</v>
    <v>Real Estate Operations</v>
    <v>JHSF3</v>
    <v>Ações</v>
    <v>JHS F Participações S.A (BVMF:JHSF3)</v>
    <v>0.04</v>
    <v>7.8130000000000005E-3</v>
    <v>1826900</v>
  </rv>
  <rv s="2">
    <v>656</v>
  </rv>
  <rv s="0">
    <v>https://www.bing.com/financeapi/forcetrigger?t=apmtf2&amp;q=BVMF%3aSIMH3&amp;form=skydnc</v>
    <v>Learn more on Bing</v>
  </rv>
  <rv s="8">
    <v>pt-BR</v>
    <v>apmtf2</v>
    <v>268435456</v>
    <v>1</v>
    <v>Da plataforma Refinitiv</v>
    <v>14</v>
    <v>15</v>
    <v>SIMPAR S.A. (BVMF:SIMH3)</v>
    <v>12</v>
    <v>16</v>
    <v>Finance</v>
    <v>5</v>
    <v>7.05</v>
    <v>2.95</v>
    <v>BVMF</v>
    <v>873040500</v>
    <v>4.53</v>
    <v>2005</v>
    <v>4.3</v>
    <v>1.6512</v>
    <v>B3 - Brazil Stock Exchange</v>
    <v>3754074000</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4.29</v>
    <v>56000</v>
    <v>45870.958333333336</v>
    <v>658</v>
    <v>3565380</v>
    <v>BRL</v>
    <v>SIMPAR S.A.</v>
    <v>SIMPAR S.A.</v>
    <v>4.42</v>
    <v>4.3</v>
    <v>Rua Doutor Renato Paes de Barros, 1017, 10 andar, cj. 101, Itaim Bibi, SAO PAULO, SAO PAULO, 04.530-001 BR</v>
    <v>Freight &amp; Logistics Services</v>
    <v>SIMH3</v>
    <v>Ações</v>
    <v>SIMPAR S.A. (BVMF:SIMH3)</v>
    <v>0.01</v>
    <v>2.3310000000000002E-3</v>
    <v>4596200</v>
  </rv>
  <rv s="2">
    <v>659</v>
  </rv>
  <rv s="0">
    <v>https://www.bing.com/financeapi/forcetrigger?t=apmp9c&amp;q=BVMF%3aGUAR3&amp;form=skydnc</v>
    <v>Learn more on Bing</v>
  </rv>
  <rv s="8">
    <v>pt-BR</v>
    <v>apmp9c</v>
    <v>268435456</v>
    <v>1</v>
    <v>Da plataforma Refinitiv</v>
    <v>14</v>
    <v>15</v>
    <v>Guararapes Confecções S/A (BVMF:GUAR3)</v>
    <v>12</v>
    <v>16</v>
    <v>Finance</v>
    <v>5</v>
    <v>9.57</v>
    <v>5.48</v>
    <v>BVMF</v>
    <v>499200000</v>
    <v>7.95</v>
    <v>1956</v>
    <v>7.65</v>
    <v>2.2035999999999998</v>
    <v>B3 - Brazil Stock Exchange</v>
    <v>3828864000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7.73</v>
    <v>31919</v>
    <v>45870.958333333336</v>
    <v>661</v>
    <v>687910</v>
    <v>BRL</v>
    <v>Guararapes Confecções S/A</v>
    <v>Guararapes Confecções S/A</v>
    <v>7.79</v>
    <v>7.67</v>
    <v>Rodovia BR 101 Norte, n 9.000, Anexo Guararapes Confeccoes, N. Sra. Apresentacao, NATAL, RIO GRANDE DO NORTE, 59.115-900 BR</v>
    <v>Specialty Retailers</v>
    <v>GUAR3</v>
    <v>Ações</v>
    <v>Guararapes Confecções S/A (BVMF:GUAR3)</v>
    <v>-0.06</v>
    <v>-7.7619999999999998E-3</v>
    <v>923200</v>
  </rv>
  <rv s="2">
    <v>662</v>
  </rv>
  <rv s="0">
    <v>https://www.bing.com/financeapi/forcetrigger?t=apnc27&amp;q=BVMF%3aSGPS3&amp;form=skydnc</v>
    <v>Learn more on Bing</v>
  </rv>
  <rv s="7">
    <v>pt-BR</v>
    <v>apnc27</v>
    <v>268435456</v>
    <v>1</v>
    <v>Da plataforma Refinitiv</v>
    <v>10</v>
    <v>11</v>
    <v>SPRINGS GLOBAL PARTICIPACOES S.A. EM RECUPERACAO JUDICIAL (BVMF:SGPS3)</v>
    <v>12</v>
    <v>13</v>
    <v>Finance</v>
    <v>5</v>
    <v>2.23</v>
    <v>1.64</v>
    <v>BVMF</v>
    <v>10000000</v>
    <v>1.64</v>
    <v>2005</v>
    <v>1.64</v>
    <v>2.1299000000000001</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664</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665</v>
  </rv>
  <rv s="0">
    <v>https://www.bing.com/financeapi/forcetrigger?t=apmuk2&amp;q=BVMF%3aCOGN3&amp;form=skydnc</v>
    <v>Learn more on Bing</v>
  </rv>
  <rv s="8">
    <v>pt-BR</v>
    <v>apmuk2</v>
    <v>268435456</v>
    <v>1</v>
    <v>Da plataforma Refinitiv</v>
    <v>14</v>
    <v>15</v>
    <v>COGNA EDUCAÇÃO S.A. (BVMF:COGN3)</v>
    <v>12</v>
    <v>16</v>
    <v>Finance</v>
    <v>5</v>
    <v>3.19</v>
    <v>0.95</v>
    <v>BVMF</v>
    <v>1876606000</v>
    <v>2.8</v>
    <v>1998</v>
    <v>2.74</v>
    <v>1.8635999999999999</v>
    <v>B3 - Brazil Stock Exchange</v>
    <v>5198199000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2.76</v>
    <v>26933</v>
    <v>45870.958333333336</v>
    <v>667</v>
    <v>25286480</v>
    <v>BRL</v>
    <v>COGNA EDUCAÇÃO S.A.</v>
    <v>COGNA EDUCAÇÃO S.A.</v>
    <v>2.8</v>
    <v>2.77</v>
    <v>Rua dos Guajajaras, n 591 4 andar, sala 1, Lourdes, BELO HORIZONTE, MINAS GERAIS, 30.180-101 BR</v>
    <v>School, College &amp; University</v>
    <v>COGN3</v>
    <v>Ações</v>
    <v>COGNA EDUCAÇÃO S.A. (BVMF:COGN3)</v>
    <v>0.01</v>
    <v>3.6229999999999999E-3</v>
    <v>19308600</v>
  </rv>
  <rv s="2">
    <v>668</v>
  </rv>
  <rv s="0">
    <v>https://www.bing.com/financeapi/forcetrigger?t=apn2nm&amp;q=BVMF%3aOIBR4&amp;form=skydnc</v>
    <v>Learn more on Bing</v>
  </rv>
  <rv s="8">
    <v>pt-BR</v>
    <v>apn2nm</v>
    <v>268435456</v>
    <v>1</v>
    <v>Da plataforma Refinitiv</v>
    <v>14</v>
    <v>15</v>
    <v>Oi S.A. – Em Recuperação Judicial (BVMF:OIBR4)</v>
    <v>12</v>
    <v>16</v>
    <v>Finance</v>
    <v>5</v>
    <v>14.3</v>
    <v>5.65</v>
    <v>BVMF</v>
    <v>330121700</v>
    <v>7.85</v>
    <v>1963</v>
    <v>6.85</v>
    <v>1.3711</v>
    <v>B3 - Brazil Stock Exchange</v>
    <v>178496900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7.48</v>
    <v>2600</v>
    <v>45870.958333333336</v>
    <v>670</v>
    <v>16660</v>
    <v>BRL</v>
    <v>Oi S.A. – Em Recuperação Judicial</v>
    <v>Oi S.A. – Em Recuperação Judicial</v>
    <v>7.5</v>
    <v>7.01</v>
    <v>Rua do Lavradio, 71,2 andar, Centro, RIO DE JANEIRO, RIO DE JANEIRO, 20.230-070 BR</v>
    <v>Telecommunications Services</v>
    <v>OIBR4</v>
    <v>Ações</v>
    <v>Oi S.A. – Em Recuperação Judicial (BVMF:OIBR4)</v>
    <v>-0.47</v>
    <v>-6.2834000000000001E-2</v>
    <v>28800</v>
  </rv>
  <rv s="2">
    <v>671</v>
  </rv>
  <rv s="0">
    <v>https://www.bing.com/financeapi/forcetrigger?t=c3an52&amp;q=BVMF%3aVITT3&amp;form=skydnc</v>
    <v>Learn more on Bing</v>
  </rv>
  <rv s="8">
    <v>pt-BR</v>
    <v>c3an52</v>
    <v>268435456</v>
    <v>1</v>
    <v>Da plataforma Refinitiv</v>
    <v>14</v>
    <v>15</v>
    <v>VITTIA S.A. (BVMF:VITT3)</v>
    <v>12</v>
    <v>16</v>
    <v>Finance</v>
    <v>5</v>
    <v>6.1</v>
    <v>4.2</v>
    <v>BVMF</v>
    <v>150314000</v>
    <v>4.96</v>
    <v>1971</v>
    <v>4.74</v>
    <v>1.0077</v>
    <v>B3 - Brazil Stock Exchange</v>
    <v>713991600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4.8899999999999997</v>
    <v>1169</v>
    <v>45870.958333333336</v>
    <v>673</v>
    <v>159810</v>
    <v>BRL</v>
    <v>VITTIA S.A.</v>
    <v>VITTIA S.A.</v>
    <v>4.91</v>
    <v>4.75</v>
    <v>Av. MarginAvenida Marginal Esquerda, 1.000al Esquerda, 1.000, Distrito Industrial, Sao Joaquim da Barra, SAO PAULO, 14.600-000 BR</v>
    <v>Chemicals</v>
    <v>VITT3</v>
    <v>Ações</v>
    <v>VITTIA S.A. (BVMF:VITT3)</v>
    <v>-0.14000000000000001</v>
    <v>-2.8629999999999999E-2</v>
    <v>105600</v>
  </rv>
  <rv s="2">
    <v>674</v>
  </rv>
  <rv s="0">
    <v>https://www.bing.com/financeapi/forcetrigger?t=apn7bh&amp;q=BVMF%3aPTBL3&amp;form=skydnc</v>
    <v>Learn more on Bing</v>
  </rv>
  <rv s="8">
    <v>pt-BR</v>
    <v>apn7bh</v>
    <v>268435456</v>
    <v>1</v>
    <v>Da plataforma Refinitiv</v>
    <v>14</v>
    <v>15</v>
    <v>PBG S/A (BVMF:PTBL3)</v>
    <v>12</v>
    <v>16</v>
    <v>Finance</v>
    <v>5</v>
    <v>5.55</v>
    <v>3.25</v>
    <v>BVMF</v>
    <v>140986900</v>
    <v>4.24</v>
    <v>1977</v>
    <v>4.01</v>
    <v>1.7806</v>
    <v>B3 - Brazil Stock Exchange</v>
    <v>572406700</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4.05</v>
    <v>2448</v>
    <v>45870.958333333336</v>
    <v>676</v>
    <v>228300</v>
    <v>BRL</v>
    <v>PBG S/A</v>
    <v>PBG S/A</v>
    <v>4.05</v>
    <v>4.0599999999999996</v>
    <v>Sc-401 4756, Saco Grande, FLORIANOPOLIS, SANTA CATARINA, 88.032-005 BR</v>
    <v>Homebuilding &amp; Construction Supplies</v>
    <v>PTBL3</v>
    <v>Ações</v>
    <v>PBG S/A (BVMF:PTBL3)</v>
    <v>0.01</v>
    <v>2.4690000000000003E-3</v>
    <v>233800</v>
  </rv>
  <rv s="2">
    <v>677</v>
  </rv>
  <rv s="0">
    <v>https://www.bing.com/financeapi/forcetrigger?t=c1c2vh&amp;q=BVMF%3aVVEO3&amp;form=skydnc</v>
    <v>Learn more on Bing</v>
  </rv>
  <rv s="8">
    <v>pt-BR</v>
    <v>c1c2vh</v>
    <v>268435456</v>
    <v>1</v>
    <v>Da plataforma Refinitiv</v>
    <v>14</v>
    <v>15</v>
    <v>CM Hospitalar S.A. (BVMF:VVEO3)</v>
    <v>12</v>
    <v>16</v>
    <v>Finance</v>
    <v>5</v>
    <v>2.94</v>
    <v>1.04</v>
    <v>BVMF</v>
    <v>322820600</v>
    <v>1.1000000000000001</v>
    <v>2010</v>
    <v>1.05</v>
    <v>0.96199999999999997</v>
    <v>B3 - Brazil Stock Exchange</v>
    <v>348646300</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1.06</v>
    <v>6000</v>
    <v>45870.958333333336</v>
    <v>679</v>
    <v>619620</v>
    <v>BRL</v>
    <v>CM Hospitalar S.A.</v>
    <v>CM Hospitalar S.A.</v>
    <v>1.06</v>
    <v>1.08</v>
    <v>Avenida Luiz Maggioni, n 2.727, Distrito Empresarial, RIBEIRAO PRETO, SAO PAULO, 14.072-055 BR</v>
    <v>Pharmaceuticals</v>
    <v>VVEO3</v>
    <v>Ações</v>
    <v>CM Hospitalar S.A. (BVMF:VVEO3)</v>
    <v>0.02</v>
    <v>1.8867999999999999E-2</v>
    <v>863200</v>
  </rv>
  <rv s="2">
    <v>680</v>
  </rv>
  <rv s="0">
    <v>https://www.bing.com/financeapi/forcetrigger?t=bxi3ec&amp;q=BVMF%3aHBRE3&amp;form=skydnc</v>
    <v>Learn more on Bing</v>
  </rv>
  <rv s="9">
    <v>pt-BR</v>
    <v>bxi3ec</v>
    <v>268435456</v>
    <v>1</v>
    <v>Da plataforma Refinitiv</v>
    <v>17</v>
    <v>18</v>
    <v>HBR Realty Empreendimentos Imobiliários S.A. (BVMF:HBRE3)</v>
    <v>12</v>
    <v>19</v>
    <v>Finance</v>
    <v>5</v>
    <v>5.54</v>
    <v>2.5499999999999998</v>
    <v>BVMF</v>
    <v>103189000</v>
    <v>3.48</v>
    <v>2011</v>
    <v>3.28</v>
    <v>1.4258</v>
    <v>B3 - Brazil Stock Exchange</v>
    <v>344651200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3.37</v>
    <v>45870.958333333336</v>
    <v>682</v>
    <v>388590</v>
    <v>BRL</v>
    <v>HBR Realty Empreendimentos Imobiliários S.A.</v>
    <v>HBR Realty Empreendimentos Imobiliários S.A.</v>
    <v>3.44</v>
    <v>3.34</v>
    <v>Avenida Vereador Narciso Yague Guimaraes, 1.145, 2 andar, Jardim Armenia, Mogi Das Cruzes, SAO PAULO, 08.780-500 BR</v>
    <v>Real Estate Operations</v>
    <v>HBRE3</v>
    <v>Ações</v>
    <v>HBR Realty Empreendimentos Imobiliários S.A. (BVMF:HBRE3)</v>
    <v>-0.03</v>
    <v>-8.9020000000000002E-3</v>
    <v>450600</v>
  </rv>
  <rv s="2">
    <v>683</v>
  </rv>
  <rv s="0">
    <v>https://www.bing.com/financeapi/forcetrigger?t=apn9a2&amp;q=BVMF%3aRDNI3&amp;form=skydnc</v>
    <v>Learn more on Bing</v>
  </rv>
  <rv s="8">
    <v>pt-BR</v>
    <v>apn9a2</v>
    <v>268435456</v>
    <v>1</v>
    <v>Da plataforma Refinitiv</v>
    <v>14</v>
    <v>15</v>
    <v>RNI Negócios Imobiliários S.A. (BVMF:RDNI3)</v>
    <v>12</v>
    <v>16</v>
    <v>Finance</v>
    <v>5</v>
    <v>3.53</v>
    <v>2.02</v>
    <v>BVMF</v>
    <v>43769810</v>
    <v>2.2799999999999998</v>
    <v>1991</v>
    <v>2.23</v>
    <v>0.67030000000000001</v>
    <v>B3 - Brazil Stock Exchange</v>
    <v>97606670</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2.25</v>
    <v>296</v>
    <v>45870.811947522656</v>
    <v>685</v>
    <v>1720</v>
    <v>BRL</v>
    <v>RNI Negócios Imobiliários S.A.</v>
    <v>RNI Negócios Imobiliários S.A.</v>
    <v>2.2400000000000002</v>
    <v>2.23</v>
    <v>Av. Francisco das Chagas de Oliveira, 2.500, SAO JOSE DO RIO PRETO, SAO PAULO, 15.085-485 BR</v>
    <v>Real Estate Operations</v>
    <v>RDNI3</v>
    <v>Ações</v>
    <v>RNI Negócios Imobiliários S.A. (BVMF:RDNI3)</v>
    <v>-0.02</v>
    <v>-8.8890000000000011E-3</v>
    <v>1600</v>
  </rv>
  <rv s="2">
    <v>686</v>
  </rv>
  <rv s="0">
    <v>https://www.bing.com/financeapi/forcetrigger?t=aywh77&amp;q=BVMF%3aPCAR3&amp;form=skydnc</v>
    <v>Learn more on Bing</v>
  </rv>
  <rv s="8">
    <v>pt-BR</v>
    <v>aywh77</v>
    <v>268435456</v>
    <v>1</v>
    <v>Da plataforma Refinitiv</v>
    <v>14</v>
    <v>15</v>
    <v>Companhia Brasileira de Distribuição S.A. (BVMF:PCAR3)</v>
    <v>12</v>
    <v>16</v>
    <v>Finance</v>
    <v>5</v>
    <v>4.95</v>
    <v>2.1800000000000002</v>
    <v>BVMF</v>
    <v>490392000</v>
    <v>3.62</v>
    <v>1981</v>
    <v>3.47</v>
    <v>1.9837</v>
    <v>B3 - Brazil Stock Exchange</v>
    <v>1711468000</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3.52</v>
    <v>110000</v>
    <v>45870.958333333336</v>
    <v>688</v>
    <v>9401900</v>
    <v>BRL</v>
    <v>Companhia Brasileira de Distribuição S.A.</v>
    <v>Companhia Brasileira de Distribuição S.A.</v>
    <v>3.61</v>
    <v>3.49</v>
    <v>Avenida Brigadeiro Luis Antonio, 3142, Jardim Paulista, SAO PAULO, SAO PAULO, 01.402-901 BR</v>
    <v>Food &amp; Drug Retailing</v>
    <v>PCAR3</v>
    <v>Ações</v>
    <v>Companhia Brasileira de Distribuição S.A. (BVMF:PCAR3)</v>
    <v>-0.03</v>
    <v>-8.5229999999999993E-3</v>
    <v>5937500</v>
  </rv>
  <rv s="2">
    <v>689</v>
  </rv>
  <rv s="0">
    <v>https://www.bing.com/financeapi/forcetrigger?t=bwihur&amp;q=BVMF%3aCASH3&amp;form=skydnc</v>
    <v>Learn more on Bing</v>
  </rv>
  <rv s="8">
    <v>pt-BR</v>
    <v>bwihur</v>
    <v>268435456</v>
    <v>1</v>
    <v>Da plataforma Refinitiv</v>
    <v>14</v>
    <v>15</v>
    <v>MÉLIUZ S.A. (BVMF:CASH3)</v>
    <v>12</v>
    <v>16</v>
    <v>Finance</v>
    <v>5</v>
    <v>10.34</v>
    <v>2.4</v>
    <v>BVMF</v>
    <v>112781000</v>
    <v>5.76</v>
    <v>2011</v>
    <v>5.44</v>
    <v>1.9372</v>
    <v>B3 - Brazil Stock Exchange</v>
    <v>618039800</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5.68</v>
    <v>470</v>
    <v>45870.958333333336</v>
    <v>691</v>
    <v>3090350</v>
    <v>BRL</v>
    <v>MÉLIUZ S.A.</v>
    <v>MÉLIUZ S.A.</v>
    <v>5.62</v>
    <v>5.48</v>
    <v>Rua Jose Versolato, n 111-B Sala 3014, Bairro Carmo, Belo Horizonte, MINAS GERAIS, 30.310-030 BR</v>
    <v>Software &amp; IT Services</v>
    <v>CASH3</v>
    <v>Ações</v>
    <v>MÉLIUZ S.A. (BVMF:CASH3)</v>
    <v>-0.2</v>
    <v>-3.5210999999999999E-2</v>
    <v>2768600</v>
  </rv>
  <rv s="2">
    <v>692</v>
  </rv>
  <rv s="0">
    <v>https://www.bing.com/financeapi/forcetrigger?t=apmkcw&amp;q=BVMF%3aFHER3&amp;form=skydnc</v>
    <v>Learn more on Bing</v>
  </rv>
  <rv s="8">
    <v>pt-BR</v>
    <v>apmkcw</v>
    <v>268435456</v>
    <v>1</v>
    <v>Da plataforma Refinitiv</v>
    <v>14</v>
    <v>15</v>
    <v>FERTILIZANTES HERINGER S.A. (BVMF:FHER3)</v>
    <v>12</v>
    <v>16</v>
    <v>Finance</v>
    <v>5</v>
    <v>10.5</v>
    <v>3.03</v>
    <v>BVMF</v>
    <v>53857280</v>
    <v>4.13</v>
    <v>1968</v>
    <v>4.0599999999999996</v>
    <v>0.49930000000000002</v>
    <v>B3 - Brazil Stock Exchange</v>
    <v>219737700</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4.12</v>
    <v>1466</v>
    <v>45870.958333333336</v>
    <v>694</v>
    <v>8030</v>
    <v>BRL</v>
    <v>FERTILIZANTES HERINGER S.A.</v>
    <v>FERTILIZANTES HERINGER S.A.</v>
    <v>4.13</v>
    <v>4.08</v>
    <v>Avenida Irene Karcher, 620, n/a, Betel, PAULINIA, SAO PAULO, 13.148-906 BR</v>
    <v>Chemicals</v>
    <v>FHER3</v>
    <v>Ações</v>
    <v>FERTILIZANTES HERINGER S.A. (BVMF:FHER3)</v>
    <v>-0.04</v>
    <v>-9.7090000000000006E-3</v>
    <v>3100</v>
  </rv>
  <rv s="2">
    <v>695</v>
  </rv>
  <rv s="0">
    <v>https://www.bing.com/financeapi/forcetrigger?t=apmngh&amp;q=BVMF%3aGFSA3&amp;form=skydnc</v>
    <v>Learn more on Bing</v>
  </rv>
  <rv s="8">
    <v>pt-BR</v>
    <v>apmngh</v>
    <v>268435456</v>
    <v>1</v>
    <v>Da plataforma Refinitiv</v>
    <v>14</v>
    <v>15</v>
    <v>Gafisa S.A. (BVMF:GFSA3)</v>
    <v>12</v>
    <v>16</v>
    <v>Finance</v>
    <v>5</v>
    <v>64.2</v>
    <v>14.94</v>
    <v>BVMF</v>
    <v>12110160</v>
    <v>15.8</v>
    <v>1996</v>
    <v>14.94</v>
    <v>1.9370000000000001</v>
    <v>B3 - Brazil Stock Exchange</v>
    <v>183468900</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15.27</v>
    <v>295</v>
    <v>45870.958333333336</v>
    <v>697</v>
    <v>305410</v>
    <v>BRL</v>
    <v>Gafisa S.A.</v>
    <v>Gafisa S.A.</v>
    <v>15.15</v>
    <v>15.15</v>
    <v>Av. Pres. Juscelino Kubitschek, 1830, conjunto comercial 32, 3 andar, Bloco 2, Itaim Bibi, SAO PAULO, SAO PAULO, 04.543-900 BR</v>
    <v>Real Estate Operations</v>
    <v>GFSA3</v>
    <v>Ações</v>
    <v>Gafisa S.A. (BVMF:GFSA3)</v>
    <v>-0.12</v>
    <v>-7.8589999999999997E-3</v>
    <v>366100</v>
  </rv>
  <rv s="2">
    <v>698</v>
  </rv>
  <rv s="0">
    <v>https://www.bing.com/financeapi/forcetrigger?t=apmr52&amp;q=BVMF%3aHYPE3&amp;form=skydnc</v>
    <v>Learn more on Bing</v>
  </rv>
  <rv s="8">
    <v>pt-BR</v>
    <v>apmr52</v>
    <v>268435456</v>
    <v>1</v>
    <v>Da plataforma Refinitiv</v>
    <v>14</v>
    <v>15</v>
    <v>Hypera S.A. (BVMF:HYPE3)</v>
    <v>12</v>
    <v>16</v>
    <v>Finance</v>
    <v>5</v>
    <v>30.81</v>
    <v>15.94</v>
    <v>BVMF</v>
    <v>633420800</v>
    <v>26.24</v>
    <v>2001</v>
    <v>25.55</v>
    <v>1.1042000000000001</v>
    <v>B3 - Brazil Stock Exchange</v>
    <v>16392930000</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25.71</v>
    <v>9000</v>
    <v>45870.958333333336</v>
    <v>700</v>
    <v>1977210</v>
    <v>BRL</v>
    <v>Hypera S.A.</v>
    <v>Hypera S.A.</v>
    <v>26.15</v>
    <v>25.88</v>
    <v>Rua Nova Cidade, 404, Vila Olimpia, SAO PAULO, SAO PAULO, 04.547-070 BR</v>
    <v>Pharmaceuticals</v>
    <v>HYPE3</v>
    <v>Ações</v>
    <v>Hypera S.A. (BVMF:HYPE3)</v>
    <v>0.17</v>
    <v>6.6119999999999998E-3</v>
    <v>2375000</v>
  </rv>
  <rv s="2">
    <v>701</v>
  </rv>
  <rv s="0">
    <v>https://www.bing.com/financeapi/forcetrigger?t=bwh3vh&amp;q=BVMF%3aENJU3&amp;form=skydnc</v>
    <v>Learn more on Bing</v>
  </rv>
  <rv s="8">
    <v>pt-BR</v>
    <v>bwh3vh</v>
    <v>268435456</v>
    <v>1</v>
    <v>Da plataforma Refinitiv</v>
    <v>14</v>
    <v>15</v>
    <v>ENJOEI S.A. (BVMF:ENJU3)</v>
    <v>12</v>
    <v>16</v>
    <v>Finance</v>
    <v>5</v>
    <v>2.1</v>
    <v>0.91</v>
    <v>BVMF</v>
    <v>205018000</v>
    <v>1.03</v>
    <v>2012</v>
    <v>0.99</v>
    <v>1.7910999999999999</v>
    <v>B3 - Brazil Stock Exchange</v>
    <v>207068180</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1.01</v>
    <v>76</v>
    <v>45870.958333333336</v>
    <v>703</v>
    <v>788410</v>
    <v>BRL</v>
    <v>ENJOEI S.A.</v>
    <v>ENJOEI S.A.</v>
    <v>1.01</v>
    <v>1.01</v>
    <v>Av. Presidente Juscelino Kubitschek, 1830 12 Andar, Torre 4, Vila Nova Conceicao, Sao Paulo, SAO PAULO, 04.543-900 BR</v>
    <v>Software &amp; IT Services</v>
    <v>ENJU3</v>
    <v>Ações</v>
    <v>ENJOEI S.A. (BVMF:ENJU3)</v>
    <v>0</v>
    <v>0</v>
    <v>840000</v>
  </rv>
  <rv s="2">
    <v>704</v>
  </rv>
  <rv s="0">
    <v>https://www.bing.com/financeapi/forcetrigger?t=c2yvmw&amp;q=BVMF%3aRAIZ4&amp;form=skydnc</v>
    <v>Learn more on Bing</v>
  </rv>
  <rv s="8">
    <v>pt-BR</v>
    <v>c2yvmw</v>
    <v>268435456</v>
    <v>1</v>
    <v>Da plataforma Refinitiv</v>
    <v>14</v>
    <v>15</v>
    <v>Raízen S.A. (BVMF:RAIZ4)</v>
    <v>12</v>
    <v>16</v>
    <v>Finance</v>
    <v>5</v>
    <v>3.4</v>
    <v>1.39</v>
    <v>BVMF</v>
    <v>1358937000</v>
    <v>1.44</v>
    <v>1961</v>
    <v>1.4</v>
    <v>1.1789000000000001</v>
    <v>B3 - Brazil Stock Exchange</v>
    <v>1902512000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1.42</v>
    <v>45417</v>
    <v>45870.958333333336</v>
    <v>706</v>
    <v>15860280</v>
    <v>BRL</v>
    <v>Raízen S.A.</v>
    <v>Raízen S.A.</v>
    <v>1.42</v>
    <v>1.4</v>
    <v>Avenida Afonso Arinos de Melo Franco, 222. Sala 321, Barra da Tijuca, RIO DE JANEIRO, RIO DE JANEIRO, 22.631-455 BR</v>
    <v>Oil &amp; Gas</v>
    <v>RAIZ4</v>
    <v>Ações</v>
    <v>Raízen S.A. (BVMF:RAIZ4)</v>
    <v>-0.02</v>
    <v>-1.4085E-2</v>
    <v>12651100</v>
  </rv>
  <rv s="2">
    <v>707</v>
  </rv>
  <rv s="0">
    <v>https://www.bing.com/financeapi/forcetrigger?t=aplygh&amp;q=BVMF%3aBBAS3&amp;form=skydnc</v>
    <v>Learn more on Bing</v>
  </rv>
  <rv s="8">
    <v>pt-BR</v>
    <v>aplygh</v>
    <v>268435456</v>
    <v>1</v>
    <v>Da plataforma Refinitiv</v>
    <v>14</v>
    <v>15</v>
    <v>Banco do Brasil S.A. (BVMF:BBAS3)</v>
    <v>12</v>
    <v>16</v>
    <v>Finance</v>
    <v>5</v>
    <v>29.49</v>
    <v>18.12</v>
    <v>BVMF</v>
    <v>5730834000</v>
    <v>20</v>
    <v>1808</v>
    <v>18.12</v>
    <v>1.0009999999999999</v>
    <v>B3 - Brazil Stock Exchange</v>
    <v>105160800000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19.7</v>
    <v>85953</v>
    <v>45870.958333333336</v>
    <v>709</v>
    <v>45529940</v>
    <v>BRL</v>
    <v>Banco do Brasil S.A.</v>
    <v>Banco do Brasil S.A.</v>
    <v>19.899999999999999</v>
    <v>18.350000000000001</v>
    <v>Saun Quadra 05, Lote B Ed. BB, Asa Norte, BRASILIA, DISTRITO FEDERAL, 70.040-912 BR</v>
    <v>Banking Services</v>
    <v>BBAS3</v>
    <v>Ações</v>
    <v>Banco do Brasil S.A. (BVMF:BBAS3)</v>
    <v>-1.35</v>
    <v>-6.8528000000000006E-2</v>
    <v>90407300</v>
  </rv>
  <rv s="2">
    <v>710</v>
  </rv>
  <rv s="0">
    <v>https://www.bing.com/financeapi/forcetrigger?t=apm5tc&amp;q=BVMF%3aEPAR3&amp;form=skydnc</v>
    <v>Learn more on Bing</v>
  </rv>
  <rv s="9">
    <v>pt-BR</v>
    <v>apm5tc</v>
    <v>268435456</v>
    <v>1</v>
    <v>Da plataforma Refinitiv</v>
    <v>17</v>
    <v>18</v>
    <v>EMBPAR PARTICIPAÇÕES S/A (BVMF:EPAR3)</v>
    <v>12</v>
    <v>19</v>
    <v>Finance</v>
    <v>5</v>
    <v>5.3</v>
    <v>3.51</v>
    <v>BVMF</v>
    <v>14860570</v>
    <v>4.5599999999999996</v>
    <v>1974</v>
    <v>4.1100000000000003</v>
    <v>0.47860000000000003</v>
    <v>B3 - Brazil Stock Exchange</v>
    <v>62562990</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4.5599999999999996</v>
    <v>45870.958333333336</v>
    <v>712</v>
    <v>9730</v>
    <v>BRL</v>
    <v>EMBPAR PARTICIPAÇÕES S/A</v>
    <v>EMBPAR PARTICIPAÇÕES S/A</v>
    <v>4.5599999999999996</v>
    <v>4.21</v>
    <v>Alameda Bom Pastor, 3700,Lote A, Sala 06, Barro Preto, SAO JOSE DOS PINHAIS, PARANA, 83.015-140 BR</v>
    <v>Automobiles &amp; Auto Parts</v>
    <v>EPAR3</v>
    <v>Ações</v>
    <v>EMBPAR PARTICIPAÇÕES S/A (BVMF:EPAR3)</v>
    <v>-0.35</v>
    <v>-7.6754000000000003E-2</v>
    <v>25900</v>
  </rv>
  <rv s="2">
    <v>713</v>
  </rv>
  <rv s="0">
    <v>https://www.bing.com/financeapi/forcetrigger?t=apm7dm&amp;q=BVMF%3aSYNE3&amp;form=skydnc</v>
    <v>Learn more on Bing</v>
  </rv>
  <rv s="9">
    <v>pt-BR</v>
    <v>apm7dm</v>
    <v>268435456</v>
    <v>1</v>
    <v>Da plataforma Refinitiv</v>
    <v>17</v>
    <v>18</v>
    <v>SYN prop e tech S.A. (BVMF:SYNE3)</v>
    <v>12</v>
    <v>19</v>
    <v>Finance</v>
    <v>5</v>
    <v>6.95</v>
    <v>3.59</v>
    <v>BVMF</v>
    <v>152644400</v>
    <v>6.85</v>
    <v>2007</v>
    <v>6.67</v>
    <v>0.79279999999999995</v>
    <v>B3 - Brazil Stock Exchange</v>
    <v>1027297000</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6.8</v>
    <v>45870.958333333336</v>
    <v>715</v>
    <v>623930</v>
    <v>BRL</v>
    <v>SYN prop e tech S.A.</v>
    <v>SYN prop e tech S.A.</v>
    <v>6.78</v>
    <v>6.73</v>
    <v>Avenida Brigadeiro Faria Lima, 3.600 Conj. 141 e 142, Itaim Bibi, SAO PAULO, SAO PAULO, 04.538-132 BR</v>
    <v>Real Estate Operations</v>
    <v>SYNE3</v>
    <v>Ações</v>
    <v>SYN prop e tech S.A. (BVMF:SYNE3)</v>
    <v>-7.0000000000000007E-2</v>
    <v>-1.0294000000000001E-2</v>
    <v>772600</v>
  </rv>
  <rv s="2">
    <v>716</v>
  </rv>
  <rv s="0">
    <v>https://www.bing.com/financeapi/forcetrigger?t=apmz27&amp;q=BVMF%3aMRVE3&amp;form=skydnc</v>
    <v>Learn more on Bing</v>
  </rv>
  <rv s="8">
    <v>pt-BR</v>
    <v>apmz27</v>
    <v>268435456</v>
    <v>1</v>
    <v>Da plataforma Refinitiv</v>
    <v>14</v>
    <v>15</v>
    <v>MRV ENGENHARIA E PARTICIPACOES S.A. (BVMF:MRVE3)</v>
    <v>12</v>
    <v>16</v>
    <v>Finance</v>
    <v>5</v>
    <v>8.2200000000000006</v>
    <v>4.43</v>
    <v>BVMF</v>
    <v>562826700</v>
    <v>6.17</v>
    <v>2006</v>
    <v>5.97</v>
    <v>1.6567000000000001</v>
    <v>B3 - Brazil Stock Exchange</v>
    <v>3371332000</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5.95</v>
    <v>30000</v>
    <v>45870.958333333336</v>
    <v>718</v>
    <v>8686530</v>
    <v>BRL</v>
    <v>MRV ENGENHARIA E PARTICIPACOES S.A.</v>
    <v>MRV ENGENHARIA E PARTICIPACOES S.A.</v>
    <v>6.03</v>
    <v>5.99</v>
    <v>Avenida Professor Mario Werneck,621, Estoril, BELO HORIZONTE, MINAS GERAIS, 30.455-610 BR</v>
    <v>Real Estate Operations</v>
    <v>MRVE3</v>
    <v>Ações</v>
    <v>MRV ENGENHARIA E PARTICIPACOES S.A. (BVMF:MRVE3)</v>
    <v>0.04</v>
    <v>6.7229999999999998E-3</v>
    <v>9599700</v>
  </rv>
  <rv s="2">
    <v>719</v>
  </rv>
  <rv s="0">
    <v>https://www.bing.com/financeapi/forcetrigger?t=apmypr&amp;q=BVMF%3aMOVI3&amp;form=skydnc</v>
    <v>Learn more on Bing</v>
  </rv>
  <rv s="8">
    <v>pt-BR</v>
    <v>apmypr</v>
    <v>268435456</v>
    <v>1</v>
    <v>Da plataforma Refinitiv</v>
    <v>14</v>
    <v>15</v>
    <v>Movida Participações S.A. (BVMF:MOVI3)</v>
    <v>12</v>
    <v>16</v>
    <v>Finance</v>
    <v>5</v>
    <v>8.92</v>
    <v>3.29</v>
    <v>BVMF</v>
    <v>347931500</v>
    <v>6.49</v>
    <v>2014</v>
    <v>6.12</v>
    <v>1.5069999999999999</v>
    <v>B3 - Brazil Stock Exchange</v>
    <v>2129341000</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6.2</v>
    <v>6831</v>
    <v>45870.958333333336</v>
    <v>721</v>
    <v>4840950</v>
    <v>BRL</v>
    <v>Movida Participações S.A.</v>
    <v>Movida Participações S.A.</v>
    <v>6.37</v>
    <v>6.12</v>
    <v>Rua Doutor Renato Paes de Barros, 1017, Conjunto 91, Itaim Bibi, SAO PAULO, SAO PAULO, 04.530-001 BR</v>
    <v>Passenger Transportation Services</v>
    <v>MOVI3</v>
    <v>Ações</v>
    <v>Movida Participações S.A. (BVMF:MOVI3)</v>
    <v>-0.08</v>
    <v>-1.2903E-2</v>
    <v>4824300</v>
  </rv>
  <rv s="2">
    <v>722</v>
  </rv>
  <rv s="0">
    <v>https://www.bing.com/financeapi/forcetrigger?t=aplxmw&amp;q=BVMF%3aAZEV4&amp;form=skydnc</v>
    <v>Learn more on Bing</v>
  </rv>
  <rv s="9">
    <v>pt-BR</v>
    <v>aplxmw</v>
    <v>268435456</v>
    <v>1</v>
    <v>Da plataforma Refinitiv</v>
    <v>17</v>
    <v>18</v>
    <v>AZEVEDO &amp; TRAVASSOS S.A. (BVMF:AZEV4)</v>
    <v>12</v>
    <v>19</v>
    <v>Finance</v>
    <v>5</v>
    <v>1.82</v>
    <v>0.53</v>
    <v>BVMF</v>
    <v>592753700</v>
    <v>0.56999999999999995</v>
    <v>1922</v>
    <v>0.55000000000000004</v>
    <v>1.0616000000000001</v>
    <v>B3 - Brazil Stock Exchange</v>
    <v>327902500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0.56999999999999995</v>
    <v>45870.958333333336</v>
    <v>724</v>
    <v>1353070</v>
    <v>BRL</v>
    <v>AZEVEDO &amp; TRAVASSOS S.A.</v>
    <v>AZEVEDO &amp; TRAVASSOS S.A.</v>
    <v>0.56000000000000005</v>
    <v>0.56000000000000005</v>
    <v>Rua Vicente Antonio de Oliveira 1050, Pirituba, SAO PAULO, SAO PAULO, 02.955-080 BR</v>
    <v>Construction &amp; Engineering</v>
    <v>AZEV4</v>
    <v>Ações</v>
    <v>AZEVEDO &amp; TRAVASSOS S.A. (BVMF:AZEV4)</v>
    <v>-0.01</v>
    <v>-1.7544000000000001E-2</v>
    <v>355600</v>
  </rv>
  <rv s="2">
    <v>725</v>
  </rv>
  <rv s="0">
    <v>http://fr.wikipedia.org/wiki/Companhia_Siderúrgica_Nacional</v>
    <v>Wikipedia</v>
  </rv>
  <rv s="10">
    <v>358</v>
    <v>727</v>
  </rv>
  <rv s="11">
    <v>25</v>
    <v>https://www.bing.com/th?id=AMMS_e8b96267310f0adc32724679940e7adf&amp;qlt=95</v>
    <v>728</v>
    <v>0</v>
    <v>https://www.bing.com/images/search?form=xlimg&amp;q=companhia+sider%c3%bargica+nacional</v>
    <v>Image of Companhia Siderúrgica Nacional S. A.</v>
  </rv>
  <rv s="0">
    <v>https://www.bing.com/financeapi/forcetrigger?t=apmcoc&amp;q=BVMF%3aCSNA3&amp;form=skydnc</v>
    <v>Learn more on Bing</v>
  </rv>
  <rv s="12">
    <v>pt-BR</v>
    <v>apmcoc</v>
    <v>268435456</v>
    <v>1</v>
    <v>Da plataforma Refinitiv</v>
    <v>20</v>
    <v>21</v>
    <v>Companhia Siderúrgica Nacional S. A. (BVMF:CSNA3)</v>
    <v>23</v>
    <v>24</v>
    <v>Finance</v>
    <v>5</v>
    <v>13.18</v>
    <v>7.24</v>
    <v>BVMF</v>
    <v>1326094000</v>
    <v>8.16</v>
    <v>1941</v>
    <v>7.62</v>
    <v>1.4646999999999999</v>
    <v>B3 - Brazil Stock Exchange</v>
    <v>10104840000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8.02</v>
    <v>24924</v>
    <v>45870.958333333336</v>
    <v>729</v>
    <v>730</v>
    <v>9871150</v>
    <v>BRL</v>
    <v>Companhia Siderúrgica Nacional S. A.</v>
    <v>Companhia Siderúrgica Nacional S. A.</v>
    <v>8.0500000000000007</v>
    <v>7.62</v>
    <v>Av. Brigadeiro Faria Lima, 3400, 19 andar, Itaim Bibi, SAO PAULO, SAO PAULO, 04.538-132 BR</v>
    <v>Metals &amp; Mining</v>
    <v>CSNA3</v>
    <v>Ações</v>
    <v>Companhia Siderúrgica Nacional S. A. (BVMF:CSNA3)</v>
    <v>-0.4</v>
    <v>-4.9874999999999996E-2</v>
    <v>12831300</v>
  </rv>
  <rv s="2">
    <v>731</v>
  </rv>
  <rv s="0">
    <v>https://www.bing.com/financeapi/forcetrigger?t=apmdhw&amp;q=BVMF%3aCTNM4&amp;form=skydnc</v>
    <v>Learn more on Bing</v>
  </rv>
  <rv s="17">
    <v>pt-BR</v>
    <v>apmdhw</v>
    <v>268435456</v>
    <v>1</v>
    <v>Da plataforma Refinitiv</v>
    <v>40</v>
    <v>41</v>
    <v>Companhia de Tecidos Norte de Minas - COTEMINAS (BVMF:CTNM4)</v>
    <v>12</v>
    <v>42</v>
    <v>Finance</v>
    <v>5</v>
    <v>0.91</v>
    <v>0.85</v>
    <v>BVMF</v>
    <v>30636460</v>
    <v>0.86</v>
    <v>1967</v>
    <v>0.86</v>
    <v>1.2122999999999999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733</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734</v>
  </rv>
  <rv s="0">
    <v>https://www.bing.com/financeapi/forcetrigger?t=c213gh&amp;q=BVMF%3aIFCM3&amp;form=skydnc</v>
    <v>Learn more on Bing</v>
  </rv>
  <rv s="8">
    <v>pt-BR</v>
    <v>c213gh</v>
    <v>268435456</v>
    <v>1</v>
    <v>Da plataforma Refinitiv</v>
    <v>14</v>
    <v>15</v>
    <v>Infracommerce CXAAS S.A (BVMF:IFCM3)</v>
    <v>12</v>
    <v>16</v>
    <v>Finance</v>
    <v>5</v>
    <v>7.16</v>
    <v>0.6</v>
    <v>BVMF</v>
    <v>90107840</v>
    <v>0.82</v>
    <v>2020</v>
    <v>0.75</v>
    <v>2.5613999999999999</v>
    <v>B3 - Brazil Stock Exchange</v>
    <v>71185190</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0.73</v>
    <v>2099</v>
    <v>45870.958333333336</v>
    <v>736</v>
    <v>879500</v>
    <v>BRL</v>
    <v>Infracommerce CXAAS S.A</v>
    <v>Infracommerce CXAAS S.A</v>
    <v>0.75</v>
    <v>0.79</v>
    <v>Av das Nacoes Unidas, 12.901, 32 e 33 andares, Torre Norte CENU, Cidade Moncoes, Sao Paulo, SAO PAULO, 04.578-910 BR</v>
    <v>Software &amp; IT Services</v>
    <v>IFCM3</v>
    <v>Ações</v>
    <v>Infracommerce CXAAS S.A (BVMF:IFCM3)</v>
    <v>0.06</v>
    <v>8.2192000000000001E-2</v>
    <v>1487300</v>
  </rv>
  <rv s="2">
    <v>737</v>
  </rv>
  <rv s="0">
    <v>https://www.bing.com/financeapi/forcetrigger?t=azs2pr&amp;q=BVMF%3aHAPV3&amp;form=skydnc</v>
    <v>Learn more on Bing</v>
  </rv>
  <rv s="9">
    <v>pt-BR</v>
    <v>azs2pr</v>
    <v>268435456</v>
    <v>1</v>
    <v>Da plataforma Refinitiv</v>
    <v>17</v>
    <v>18</v>
    <v>Hapvida Participações e Investimentos S/A (BVMF:HAPV3)</v>
    <v>12</v>
    <v>19</v>
    <v>Finance</v>
    <v>5</v>
    <v>71.25</v>
    <v>29.7</v>
    <v>BVMF</v>
    <v>502630900</v>
    <v>33.96</v>
    <v>2001</v>
    <v>32.53</v>
    <v>1.6331</v>
    <v>B3 - Brazil Stock Exchange</v>
    <v>16415920000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33.07</v>
    <v>45870.958333333336</v>
    <v>739</v>
    <v>3228450</v>
    <v>BRL</v>
    <v>Hapvida Participações e Investimentos S/A</v>
    <v>Hapvida Participações e Investimentos S/A</v>
    <v>33.53</v>
    <v>32.659999999999997</v>
    <v>Avenida Heraclito Graca n 406, Centro, FORTALEZA, CEARA, 60.140-060 BR</v>
    <v>Healthcare Providers &amp; Services</v>
    <v>HAPV3</v>
    <v>Ações</v>
    <v>Hapvida Participações e Investimentos S/A (BVMF:HAPV3)</v>
    <v>-0.41</v>
    <v>-1.2397999999999999E-2</v>
    <v>3112600</v>
  </rv>
  <rv s="2">
    <v>740</v>
  </rv>
  <rv s="0">
    <v>https://www.bing.com/financeapi/forcetrigger?t=bvtfnm&amp;q=BVMF%3aSEQL3&amp;form=skydnc</v>
    <v>Learn more on Bing</v>
  </rv>
  <rv s="9">
    <v>pt-BR</v>
    <v>bvtfnm</v>
    <v>268435456</v>
    <v>1</v>
    <v>Da plataforma Refinitiv</v>
    <v>17</v>
    <v>18</v>
    <v>SEQUOIA LOGÍSTICA E TRANSPORTES S.A. (BVMF:SEQL3)</v>
    <v>12</v>
    <v>19</v>
    <v>Finance</v>
    <v>5</v>
    <v>9.73</v>
    <v>0.92</v>
    <v>BVMF</v>
    <v>50311580</v>
    <v>0.99</v>
    <v>1996</v>
    <v>0.96</v>
    <v>1.7874000000000001</v>
    <v>B3 - Brazil Stock Exchange</v>
    <v>48802232</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0.97</v>
    <v>45870.958333333336</v>
    <v>742</v>
    <v>157170</v>
    <v>BRL</v>
    <v>SEQUOIA LOGÍSTICA E TRANSPORTES S.A.</v>
    <v>SEQUOIA LOGÍSTICA E TRANSPORTES S.A.</v>
    <v>0.97</v>
    <v>0.97</v>
    <v>Alameda Rio Negro, 500 6 Andar, Sala 601, Alphaville, BARUERI, SAO PAULO, 06.454-000 BR</v>
    <v>Freight &amp; Logistics Services</v>
    <v>SEQL3</v>
    <v>Ações</v>
    <v>SEQUOIA LOGÍSTICA E TRANSPORTES S.A. (BVMF:SEQL3)</v>
    <v>0</v>
    <v>0</v>
    <v>160900</v>
  </rv>
  <rv s="2">
    <v>743</v>
  </rv>
  <rv s="0">
    <v>https://www.bing.com/financeapi/forcetrigger?t=axx6m7&amp;q=BVMF%3aBKBR3&amp;form=skydnc</v>
    <v>Learn more on Bing</v>
  </rv>
  <rv s="8">
    <v>pt-BR</v>
    <v>axx6m7</v>
    <v>268435456</v>
    <v>1</v>
    <v>Da plataforma Refinitiv</v>
    <v>14</v>
    <v>15</v>
    <v>ZAMP S.A. (BVMF:ZAMP3)</v>
    <v>12</v>
    <v>16</v>
    <v>Finance</v>
    <v>5</v>
    <v>3.69</v>
    <v>2.09</v>
    <v>BVMF</v>
    <v>406934400</v>
    <v>3.48</v>
    <v>2011</v>
    <v>3.45</v>
    <v>1.2014</v>
    <v>B3 - Brazil Stock Exchange</v>
    <v>1416132000</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3.49</v>
    <v>20000</v>
    <v>45870.958333333336</v>
    <v>745</v>
    <v>406290</v>
    <v>BRL</v>
    <v>ZAMP S.A.</v>
    <v>ZAMP S.A.</v>
    <v>3.45</v>
    <v>3.48</v>
    <v>Al Tocantins 350 Andar 10, Alphaville Centro Industrial E Empresarial/Alphavi, BARUERI, SAO PAULO, 06.455-020 BR</v>
    <v>Hotels &amp; Entertainment Services</v>
    <v>ZAMP3</v>
    <v>Ações</v>
    <v>ZAMP S.A. (BVMF:ZAMP3)</v>
    <v>-0.01</v>
    <v>-2.8649999999999999E-3</v>
    <v>456900</v>
  </rv>
  <rv s="2">
    <v>746</v>
  </rv>
  <rv s="0">
    <v>https://www.bing.com/financeapi/forcetrigger?t=apmrur&amp;q=BVMF%3aINEP4&amp;form=skydnc</v>
    <v>Learn more on Bing</v>
  </rv>
  <rv s="8">
    <v>pt-BR</v>
    <v>apmrur</v>
    <v>268435456</v>
    <v>1</v>
    <v>Da plataforma Refinitiv</v>
    <v>14</v>
    <v>15</v>
    <v>Inepar S.A. Indústria e Construções - em Recuperação Judicial (BVMF:INEP4)</v>
    <v>12</v>
    <v>16</v>
    <v>Finance</v>
    <v>5</v>
    <v>2.54</v>
    <v>1.1499999999999999</v>
    <v>BVMF</v>
    <v>44895590</v>
    <v>1.41</v>
    <v>1968</v>
    <v>1.37</v>
    <v>1.9744999999999999</v>
    <v>B3 - Brazil Stock Exchange</v>
    <v>72857020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1.38</v>
    <v>3216</v>
    <v>45870.958333333336</v>
    <v>748</v>
    <v>7800</v>
    <v>BRL</v>
    <v>Inepar S.A. Indústria e Construções - em Recuperação Judicial</v>
    <v>Inepar S.A. Indústria e Construções - em Recuperação Judicial</v>
    <v>1.37</v>
    <v>1.4</v>
    <v>Alameda Dr. Carlos de Carvalho n 373,Cjto. 1101 11 andar, Centro, CURITIBA, PARANA, 80.410-180 BR</v>
    <v>Construction &amp; Engineering</v>
    <v>INEP4</v>
    <v>Ações</v>
    <v>Inepar S.A. Indústria e Construções - em Recuperação Judicial (BVMF:INEP4)</v>
    <v>0.02</v>
    <v>1.4493000000000001E-2</v>
    <v>17300</v>
  </rv>
  <rv s="2">
    <v>749</v>
  </rv>
  <rv s="0">
    <v>https://www.bing.com/financeapi/forcetrigger?t=apn2kr&amp;q=BVMF%3aOIBR3&amp;form=skydnc</v>
    <v>Learn more on Bing</v>
  </rv>
  <rv s="8">
    <v>pt-BR</v>
    <v>apn2kr</v>
    <v>268435456</v>
    <v>1</v>
    <v>Da plataforma Refinitiv</v>
    <v>14</v>
    <v>15</v>
    <v>Oi S.A. – Em Recuperação Judicial (BVMF:OIBR3)</v>
    <v>12</v>
    <v>16</v>
    <v>Finance</v>
    <v>5</v>
    <v>5.6</v>
    <v>0.45</v>
    <v>BVMF</v>
    <v>330121700</v>
    <v>0.54</v>
    <v>1963</v>
    <v>0.51</v>
    <v>1.3711</v>
    <v>B3 - Brazil Stock Exchange</v>
    <v>178496900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0.52</v>
    <v>2600</v>
    <v>45870.958333333336</v>
    <v>751</v>
    <v>16660</v>
    <v>BRL</v>
    <v>Oi S.A. – Em Recuperação Judicial</v>
    <v>Oi S.A. – Em Recuperação Judicial</v>
    <v>0.53</v>
    <v>0.51</v>
    <v>Rua do Lavradio, 71,2 andar, Centro, RIO DE JANEIRO, RIO DE JANEIRO, 20.230-070 BR</v>
    <v>Telecommunications Services</v>
    <v>OIBR3</v>
    <v>Ações</v>
    <v>Oi S.A. – Em Recuperação Judicial (BVMF:OIBR3)</v>
    <v>-0.01</v>
    <v>-1.9231000000000002E-2</v>
    <v>1949800</v>
  </rv>
  <rv s="2">
    <v>752</v>
  </rv>
  <rv s="0">
    <v>https://www.bing.com/financeapi/forcetrigger?t=apmcfr&amp;q=BVMF%3aCSAN3&amp;form=skydnc</v>
    <v>Learn more on Bing</v>
  </rv>
  <rv s="8">
    <v>pt-BR</v>
    <v>apmcfr</v>
    <v>268435456</v>
    <v>1</v>
    <v>Da plataforma Refinitiv</v>
    <v>14</v>
    <v>15</v>
    <v>Cosan S.A (BVMF:CSAN3)</v>
    <v>12</v>
    <v>16</v>
    <v>Finance</v>
    <v>5</v>
    <v>14.18</v>
    <v>5.66</v>
    <v>BVMF</v>
    <v>1866571000</v>
    <v>6.1</v>
    <v>1966</v>
    <v>5.82</v>
    <v>1.1593</v>
    <v>B3 - Brazil Stock Exchange</v>
    <v>10863440000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5.93</v>
    <v>53498</v>
    <v>45870.958333333336</v>
    <v>754</v>
    <v>19302340</v>
    <v>BRL</v>
    <v>Cosan S.A</v>
    <v>Cosan S.A</v>
    <v>6.04</v>
    <v>5.82</v>
    <v>Avenida Brigadeiro Faria Lima, 4.100 16 andar, sala 01, Vila Nova Conceicao, SAO PAULO, SAO PAULO, 04.538-132 BR</v>
    <v>Consumer Goods Conglomerates</v>
    <v>CSAN3</v>
    <v>Ações</v>
    <v>Cosan S.A (BVMF:CSAN3)</v>
    <v>-0.11</v>
    <v>-1.8550000000000001E-2</v>
    <v>34053300</v>
  </rv>
  <rv s="2">
    <v>755</v>
  </rv>
  <rv s="0">
    <v>https://www.bing.com/financeapi/forcetrigger?t=apm4oc&amp;q=BVMF%3aBRKM3&amp;form=skydnc</v>
    <v>Learn more on Bing</v>
  </rv>
  <rv s="8">
    <v>pt-BR</v>
    <v>apm4oc</v>
    <v>268435456</v>
    <v>1</v>
    <v>Da plataforma Refinitiv</v>
    <v>14</v>
    <v>15</v>
    <v>BRASKEM S.A. (BVMF:BRKM3)</v>
    <v>12</v>
    <v>16</v>
    <v>Finance</v>
    <v>5</v>
    <v>20.86</v>
    <v>8.85</v>
    <v>BVMF</v>
    <v>797207800</v>
    <v>9.31</v>
    <v>1972</v>
    <v>8.91</v>
    <v>1.0738000000000001</v>
    <v>B3 - Brazil Stock Exchange</v>
    <v>6953265000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9.1</v>
    <v>8126</v>
    <v>45870.958333333336</v>
    <v>757</v>
    <v>3688470</v>
    <v>BRL</v>
    <v>BRASKEM S.A.</v>
    <v>BRASKEM S.A.</v>
    <v>9.1999999999999993</v>
    <v>8.91</v>
    <v>R Eteno 1561, Polo Industrial De Camacari, CAMACARI, BAHIA, 42.816-200 BR</v>
    <v>Chemicals</v>
    <v>BRKM3</v>
    <v>Ações</v>
    <v>BRASKEM S.A. (BVMF:BRKM3)</v>
    <v>-0.19</v>
    <v>-2.0878999999999998E-2</v>
    <v>16200</v>
  </rv>
  <rv s="2">
    <v>758</v>
  </rv>
  <rv s="0">
    <v>https://www.bing.com/financeapi/forcetrigger?t=apnc7w&amp;q=BVMF%3aSHOW3&amp;form=skydnc</v>
    <v>Learn more on Bing</v>
  </rv>
  <rv s="8">
    <v>pt-BR</v>
    <v>apnc7w</v>
    <v>268435456</v>
    <v>1</v>
    <v>Da plataforma Refinitiv</v>
    <v>14</v>
    <v>15</v>
    <v>T4F ENTRETENIMENTO S.A. (BVMF:SHOW3)</v>
    <v>12</v>
    <v>16</v>
    <v>Finance</v>
    <v>5</v>
    <v>16</v>
    <v>5.99</v>
    <v>BVMF</v>
    <v>67412640</v>
    <v>6.6</v>
    <v>1998</v>
    <v>6.21</v>
    <v>1.8912</v>
    <v>B3 - Brazil Stock Exchange</v>
    <v>425373700</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6.44</v>
    <v>621</v>
    <v>45870.958333333336</v>
    <v>760</v>
    <v>17300</v>
    <v>BRL</v>
    <v>T4F ENTRETENIMENTO S.A.</v>
    <v>T4F ENTRETENIMENTO S.A.</v>
    <v>6.55</v>
    <v>6.31</v>
    <v>Rua Cristiano Viana, n 401, 15 andar, Pinheiros, SAO PAULO, SAO PAULO, 05.411-000 BR</v>
    <v>Hotels &amp; Entertainment Services</v>
    <v>SHOW3</v>
    <v>Ações</v>
    <v>T4F ENTRETENIMENTO S.A. (BVMF:SHOW3)</v>
    <v>-0.13</v>
    <v>-2.0186000000000003E-2</v>
    <v>27800</v>
  </rv>
  <rv s="2">
    <v>761</v>
  </rv>
  <rv s="0">
    <v>https://www.bing.com/financeapi/forcetrigger?t=azilm7&amp;q=BVMF%3aAZEV3&amp;form=skydnc</v>
    <v>Learn more on Bing</v>
  </rv>
  <rv s="9">
    <v>pt-BR</v>
    <v>azilm7</v>
    <v>268435456</v>
    <v>1</v>
    <v>Da plataforma Refinitiv</v>
    <v>17</v>
    <v>18</v>
    <v>AZEVEDO &amp; TRAVASSOS S.A. (BVMF:AZEV3)</v>
    <v>12</v>
    <v>19</v>
    <v>Finance</v>
    <v>5</v>
    <v>1.82</v>
    <v>0.41</v>
    <v>BVMF</v>
    <v>592753700</v>
    <v>0.56000000000000005</v>
    <v>1922</v>
    <v>0.54</v>
    <v>1.0616000000000001</v>
    <v>B3 - Brazil Stock Exchange</v>
    <v>327902500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0.56000000000000005</v>
    <v>45870.958333333336</v>
    <v>763</v>
    <v>1353070</v>
    <v>BRL</v>
    <v>AZEVEDO &amp; TRAVASSOS S.A.</v>
    <v>AZEVEDO &amp; TRAVASSOS S.A.</v>
    <v>0.56000000000000005</v>
    <v>0.54</v>
    <v>Rua Vicente Antonio de Oliveira 1050, Pirituba, SAO PAULO, SAO PAULO, 02.955-080 BR</v>
    <v>Construction &amp; Engineering</v>
    <v>AZEV3</v>
    <v>Ações</v>
    <v>AZEVEDO &amp; TRAVASSOS S.A. (BVMF:AZEV3)</v>
    <v>-0.02</v>
    <v>-3.5714000000000003E-2</v>
    <v>679600</v>
  </rv>
  <rv s="2">
    <v>764</v>
  </rv>
  <rv s="0">
    <v>https://www.bing.com/financeapi/forcetrigger?t=apmoa2&amp;q=BVMF%3aGOLL4&amp;form=skydnc</v>
    <v>Learn more on Bing</v>
  </rv>
  <rv s="8">
    <v>pt-BR</v>
    <v>apmoa2</v>
    <v>268435456</v>
    <v>1</v>
    <v>Da plataforma Refinitiv</v>
    <v>14</v>
    <v>15</v>
    <v>Gol Linhas Aéreas Inteligentes S.A. (BVMF:GOLL54)</v>
    <v>12</v>
    <v>16</v>
    <v>Finance</v>
    <v>5</v>
    <v>701</v>
    <v>0</v>
    <v>BVMF</v>
    <v>3202277000000</v>
    <v>7.04</v>
    <v>2004</v>
    <v>6.57</v>
    <v>2.0024999999999999</v>
    <v>B3 - Brazil Stock Exchange</v>
    <v>332444900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6.55</v>
    <v>13694</v>
    <v>45870.958333333336</v>
    <v>766</v>
    <v>2045290320</v>
    <v>BRL</v>
    <v>Gol Linhas Aéreas Inteligentes S.A.</v>
    <v>Gol Linhas Aéreas Inteligentes S.A.</v>
    <v>6.74</v>
    <v>6.57</v>
    <v>Praca Comandante Lineu Gomes S/N, Portaria 3, Jardim Aeroporto, SAO PAULO, SAO PAULO, 04.626-020 BR</v>
    <v>Passenger Transportation Services</v>
    <v>GOLL54</v>
    <v>Ações</v>
    <v>Gol Linhas Aéreas Inteligentes S.A. (BVMF:GOLL54)</v>
    <v>0.02</v>
    <v>3.0530000000000002E-3</v>
    <v>421389</v>
  </rv>
  <rv s="2">
    <v>767</v>
  </rv>
  <rv s="0">
    <v>https://www.bing.com/financeapi/forcetrigger?t=apnbvh&amp;q=BVMF%3aSEER3&amp;form=skydnc</v>
    <v>Learn more on Bing</v>
  </rv>
  <rv s="8">
    <v>pt-BR</v>
    <v>apnbvh</v>
    <v>268435456</v>
    <v>1</v>
    <v>Da plataforma Refinitiv</v>
    <v>14</v>
    <v>15</v>
    <v>Ser Educacional S.A. (BVMF:SEER3)</v>
    <v>12</v>
    <v>16</v>
    <v>Finance</v>
    <v>5</v>
    <v>10.76</v>
    <v>3.9</v>
    <v>BVMF</v>
    <v>128721600</v>
    <v>8.18</v>
    <v>2002</v>
    <v>7.82</v>
    <v>1.8107</v>
    <v>B3 - Brazil Stock Exchange</v>
    <v>1032347000</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7.91</v>
    <v>7800</v>
    <v>45870.958333333336</v>
    <v>769</v>
    <v>492280</v>
    <v>BRL</v>
    <v>Ser Educacional S.A.</v>
    <v>Ser Educacional S.A.</v>
    <v>8.02</v>
    <v>8.02</v>
    <v>Av. da Saudade, 254, Santo Amaro, RECIFE, PERNAMBUCO, 50.100-200 BR</v>
    <v>School, College &amp; University</v>
    <v>SEER3</v>
    <v>Ações</v>
    <v>Ser Educacional S.A. (BVMF:SEER3)</v>
    <v>0.11</v>
    <v>1.3906E-2</v>
    <v>977700</v>
  </rv>
  <rv s="2">
    <v>770</v>
  </rv>
  <rv s="0">
    <v>https://www.bing.com/financeapi/forcetrigger?t=apmk77&amp;q=BVMF%3aFESA4&amp;form=skydnc</v>
    <v>Learn more on Bing</v>
  </rv>
  <rv s="8">
    <v>pt-BR</v>
    <v>apmk77</v>
    <v>268435456</v>
    <v>1</v>
    <v>Da plataforma Refinitiv</v>
    <v>14</v>
    <v>15</v>
    <v>Companhia de Ferro Ligas da Bahia (Ferbasa) (BVMF:FESA4)</v>
    <v>12</v>
    <v>16</v>
    <v>Finance</v>
    <v>5</v>
    <v>8.2200000000000006</v>
    <v>6.5</v>
    <v>BVMF</v>
    <v>353175000</v>
    <v>6.64</v>
    <v>1961</v>
    <v>6.5</v>
    <v>0.35</v>
    <v>B3 - Brazil Stock Exchange</v>
    <v>2858233000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6.62</v>
    <v>3218</v>
    <v>45870.958333333336</v>
    <v>772</v>
    <v>445750</v>
    <v>BRL</v>
    <v>Companhia de Ferro Ligas da Bahia (Ferbasa)</v>
    <v>Companhia de Ferro Ligas da Bahia (Ferbasa)</v>
    <v>6.6</v>
    <v>6.5</v>
    <v>Estrada de Santiago, s/n, Sede, Santiago, POJUCA, BAHIA, 48.120-000 BR</v>
    <v>Metals &amp; Mining</v>
    <v>FESA4</v>
    <v>Ações</v>
    <v>Companhia de Ferro Ligas da Bahia (Ferbasa) (BVMF:FESA4)</v>
    <v>-0.12</v>
    <v>-1.8127000000000001E-2</v>
    <v>508300</v>
  </rv>
  <rv s="2">
    <v>773</v>
  </rv>
  <rv s="0">
    <v>https://www.bing.com/financeapi/forcetrigger?t=bvcw52&amp;q=BVMF%3aLJQQ3&amp;form=skydnc</v>
    <v>Learn more on Bing</v>
  </rv>
  <rv s="8">
    <v>pt-BR</v>
    <v>bvcw52</v>
    <v>268435456</v>
    <v>1</v>
    <v>Da plataforma Refinitiv</v>
    <v>14</v>
    <v>15</v>
    <v>Lojas Quero-Quero S.A (BVMF:LJQQ3)</v>
    <v>12</v>
    <v>16</v>
    <v>Finance</v>
    <v>5</v>
    <v>4.29</v>
    <v>1.87</v>
    <v>BVMF</v>
    <v>206917300</v>
    <v>2.54</v>
    <v>1967</v>
    <v>2.44</v>
    <v>1.7988</v>
    <v>B3 - Brazil Stock Exchange</v>
    <v>517293200</v>
    <v>A Lojas Quero-Quero SA possui e opera lojas de varejo de artefatos domésticos em cidades de pequeno e médio porte do Rio Grande do Sul. A empresa foi fundada em 1967 e está localizada em Cachoeirinha, Brasil.</v>
    <v>BVMF</v>
    <v>2.42</v>
    <v>8200</v>
    <v>45870.958333333336</v>
    <v>775</v>
    <v>1253520</v>
    <v>BRL</v>
    <v>Lojas Quero-Quero S.A</v>
    <v>Lojas Quero-Quero S.A</v>
    <v>2.44</v>
    <v>2.5</v>
    <v>Avenida General Flores da Cunha n 1943, Vila Cachoeirinha, CACHOEIRINHA, RIO GRANDE DO SUL, 94.910-003 BR</v>
    <v>Specialty Retailers</v>
    <v>LJQQ3</v>
    <v>Ações</v>
    <v>Lojas Quero-Quero S.A (BVMF:LJQQ3)</v>
    <v>0.08</v>
    <v>3.3058000000000004E-2</v>
    <v>2189800</v>
  </rv>
  <rv s="2">
    <v>776</v>
  </rv>
  <rv s="0">
    <v>https://www.bing.com/financeapi/forcetrigger?t=apnkar&amp;q=BVMF%3aVIVR3&amp;form=skydnc</v>
    <v>Learn more on Bing</v>
  </rv>
  <rv s="8">
    <v>pt-BR</v>
    <v>apnkar</v>
    <v>268435456</v>
    <v>1</v>
    <v>Da plataforma Refinitiv</v>
    <v>14</v>
    <v>15</v>
    <v>Viver Incorporadora e Construtora S.A. (BVMF:VIVR3)</v>
    <v>12</v>
    <v>16</v>
    <v>Finance</v>
    <v>5</v>
    <v>2.7</v>
    <v>0.8</v>
    <v>BVMF</v>
    <v>38366080</v>
    <v>0.83</v>
    <v>1992</v>
    <v>0.8</v>
    <v>1.6732</v>
    <v>B3 - Brazil Stock Exchange</v>
    <v>30692870</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0.82</v>
    <v>256</v>
    <v>45870.958333333336</v>
    <v>778</v>
    <v>24120</v>
    <v>BRL</v>
    <v>Viver Incorporadora e Construtora S.A.</v>
    <v>Viver Incorporadora e Construtora S.A.</v>
    <v>0.81</v>
    <v>0.8</v>
    <v>Avenida Brigadeiro Faria Lima, 1.461, 10 andar, Jardim Paulista, SAO PAULO, SAO PAULO, 01.452-921 BR</v>
    <v>Real Estate Operations</v>
    <v>VIVR3</v>
    <v>Ações</v>
    <v>Viver Incorporadora e Construtora S.A. (BVMF:VIVR3)</v>
    <v>-0.02</v>
    <v>-2.4390000000000002E-2</v>
    <v>24200</v>
  </rv>
  <rv s="2">
    <v>779</v>
  </rv>
  <rv s="0">
    <v>https://www.bing.com/financeapi/forcetrigger?t=apmemw&amp;q=BVMF%3aDASA3&amp;form=skydnc</v>
    <v>Learn more on Bing</v>
  </rv>
  <rv s="8">
    <v>pt-BR</v>
    <v>apmemw</v>
    <v>268435456</v>
    <v>1</v>
    <v>Da plataforma Refinitiv</v>
    <v>14</v>
    <v>15</v>
    <v>Diagnósticos da América S.A (BVMF:DASA3)</v>
    <v>12</v>
    <v>16</v>
    <v>Finance</v>
    <v>5</v>
    <v>3.54</v>
    <v>1.18</v>
    <v>BVMF</v>
    <v>1255007000</v>
    <v>1.33</v>
    <v>1966</v>
    <v>1.23</v>
    <v>1.0263</v>
    <v>B3 - Brazil Stock Exchange</v>
    <v>1606409000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1.24</v>
    <v>18142</v>
    <v>45870.958333333336</v>
    <v>781</v>
    <v>649700</v>
    <v>BRL</v>
    <v>Diagnósticos da América S.A</v>
    <v>Diagnósticos da América S.A</v>
    <v>1.24</v>
    <v>1.28</v>
    <v>Avenida Jurua, 434, Alphaville, BARUERI, SAO PAULO, 06.455-010 BR</v>
    <v>Healthcare Providers &amp; Services</v>
    <v>DASA3</v>
    <v>Ações</v>
    <v>Diagnósticos da América S.A (BVMF:DASA3)</v>
    <v>0.04</v>
    <v>3.2258000000000002E-2</v>
    <v>1507400</v>
  </rv>
  <rv s="2">
    <v>782</v>
  </rv>
  <rv s="0">
    <v>https://www.bing.com/financeapi/forcetrigger?t=apnakr&amp;q=BVMF%3aRSID3&amp;form=skydnc</v>
    <v>Learn more on Bing</v>
  </rv>
  <rv s="9">
    <v>pt-BR</v>
    <v>apnakr</v>
    <v>268435456</v>
    <v>1</v>
    <v>Da plataforma Refinitiv</v>
    <v>17</v>
    <v>18</v>
    <v>ROSSI RESIDENCIAL S.A. - Em Recuperação Judicial. (BVMF:RSID3)</v>
    <v>12</v>
    <v>19</v>
    <v>Finance</v>
    <v>5</v>
    <v>4.1500000000000004</v>
    <v>1.65</v>
    <v>BVMF</v>
    <v>20272200</v>
    <v>2.0699999999999998</v>
    <v>1985</v>
    <v>2.0299999999999998</v>
    <v>0.74560000000000004</v>
    <v>B3 - Brazil Stock Exchange</v>
    <v>41760740</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2.0699999999999998</v>
    <v>45870.958333333336</v>
    <v>784</v>
    <v>6790</v>
    <v>BRL</v>
    <v>ROSSI RESIDENCIAL S.A. - Em Recuperação Judicial.</v>
    <v>ROSSI RESIDENCIAL S.A. - Em Recuperação Judicial.</v>
    <v>2.0699999999999998</v>
    <v>2.06</v>
    <v>Rua Henri Dunant, 873 - Conj. 601 a 605 6 andar, Santo Amaro, SAO PAULO, SAO PAULO, 04.709-111 BR</v>
    <v>Real Estate Operations</v>
    <v>RSID3</v>
    <v>Ações</v>
    <v>ROSSI RESIDENCIAL S.A. - Em Recuperação Judicial. (BVMF:RSID3)</v>
    <v>-0.01</v>
    <v>-4.8309999999999994E-3</v>
    <v>1700</v>
  </rv>
  <rv s="2">
    <v>785</v>
  </rv>
  <rv s="0">
    <v>https://www.bing.com/financeapi/forcetrigger?t=apnf8m&amp;q=BVMF%3aTCSA3&amp;form=skydnc</v>
    <v>Learn more on Bing</v>
  </rv>
  <rv s="8">
    <v>pt-BR</v>
    <v>apnf8m</v>
    <v>268435456</v>
    <v>1</v>
    <v>Da plataforma Refinitiv</v>
    <v>14</v>
    <v>15</v>
    <v>TECNISA S.A. (BVMF:TCSA3)</v>
    <v>12</v>
    <v>16</v>
    <v>Finance</v>
    <v>5</v>
    <v>2.1800000000000002</v>
    <v>1.1499999999999999</v>
    <v>BVMF</v>
    <v>90511120</v>
    <v>1.74</v>
    <v>2006</v>
    <v>1.66</v>
    <v>1.6306</v>
    <v>B3 - Brazil Stock Exchange</v>
    <v>153868900</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1.74</v>
    <v>8039</v>
    <v>45870.958333333336</v>
    <v>787</v>
    <v>62390</v>
    <v>BRL</v>
    <v>TECNISA S.A.</v>
    <v>TECNISA S.A.</v>
    <v>1.71</v>
    <v>1.7</v>
    <v>Avenida Nicolas Boer, 399, 5 andar - Unid 502S, Jardim das Perdizes, SAO PAULO, SAO PAULO, 01.140-060 BR</v>
    <v>Real Estate Operations</v>
    <v>TCSA3</v>
    <v>Ações</v>
    <v>TECNISA S.A. (BVMF:TCSA3)</v>
    <v>-0.04</v>
    <v>-2.2989000000000002E-2</v>
    <v>37100</v>
  </rv>
  <rv s="2">
    <v>788</v>
  </rv>
  <rv s="0">
    <v>https://www.bing.com/financeapi/forcetrigger?t=aplxpr&amp;q=BVMF%3aAZUL4&amp;form=skydnc</v>
    <v>Learn more on Bing</v>
  </rv>
  <rv s="8">
    <v>pt-BR</v>
    <v>aplxpr</v>
    <v>268435456</v>
    <v>1</v>
    <v>Da plataforma Refinitiv</v>
    <v>14</v>
    <v>15</v>
    <v>Azul S.A. (BVMF:AZUL4)</v>
    <v>12</v>
    <v>16</v>
    <v>Finance</v>
    <v>5</v>
    <v>8.1199999999999992</v>
    <v>0.6</v>
    <v>BVMF</v>
    <v>896039700</v>
    <v>0.7</v>
    <v>2008</v>
    <v>0.66</v>
    <v>2.1078000000000001</v>
    <v>B3 - Brazil Stock Exchange</v>
    <v>600346599</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0.67</v>
    <v>15367</v>
    <v>45870.958333333336</v>
    <v>790</v>
    <v>22830570</v>
    <v>BRL</v>
    <v>Azul S.A.</v>
    <v>Azul S.A.</v>
    <v>0.67</v>
    <v>0.67</v>
    <v>Av. Marcos P. de U. Rodrigues, 939 - Edif. C. Branco Office Park, Torre Jatoba, 11 andar, Alphaville Industrial, BARUERI, SAO PAULO, 06.460-040 BR</v>
    <v>Passenger Transportation Services</v>
    <v>AZUL4</v>
    <v>Ações</v>
    <v>Azul S.A. (BVMF:AZUL4)</v>
    <v>0</v>
    <v>0</v>
    <v>16277000</v>
  </rv>
  <rv s="2">
    <v>791</v>
  </rv>
  <rv s="0">
    <v>https://www.bing.com/financeapi/forcetrigger?t=c24pbh&amp;q=BVMF%3aDOTZ3&amp;form=skydnc</v>
    <v>Learn more on Bing</v>
  </rv>
  <rv s="8">
    <v>pt-BR</v>
    <v>c24pbh</v>
    <v>268435456</v>
    <v>1</v>
    <v>Da plataforma Refinitiv</v>
    <v>14</v>
    <v>15</v>
    <v>Dotz S.A. (BVMF:DOTZ3)</v>
    <v>12</v>
    <v>16</v>
    <v>Finance</v>
    <v>5</v>
    <v>9.4499999999999993</v>
    <v>2.54</v>
    <v>BVMF</v>
    <v>13321980</v>
    <v>5.93</v>
    <v>2013</v>
    <v>5.55</v>
    <v>1.6533</v>
    <v>B3 - Brazil Stock Exchange</v>
    <v>78333230</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5.55</v>
    <v>226</v>
    <v>45870.958333333336</v>
    <v>793</v>
    <v>10070</v>
    <v>BRL</v>
    <v>Dotz S.A.</v>
    <v>Dotz S.A.</v>
    <v>5.55</v>
    <v>5.88</v>
    <v>R Joaquim Floriano 533 15 andar, Itaim Bibi, Sao Paulo, SAO PAULO, 04.534-011 BR</v>
    <v>Professional &amp; Commercial Services</v>
    <v>DOTZ3</v>
    <v>Ações</v>
    <v>Dotz S.A. (BVMF:DOTZ3)</v>
    <v>0.33</v>
    <v>5.9458999999999998E-2</v>
    <v>16000</v>
  </rv>
  <rv s="2">
    <v>794</v>
  </rv>
  <rv s="0">
    <v>https://www.bing.com/financeapi/forcetrigger?t=apn51h&amp;q=BVMF%3aPMAM3&amp;form=skydnc</v>
    <v>Learn more on Bing</v>
  </rv>
  <rv s="8">
    <v>pt-BR</v>
    <v>apn51h</v>
    <v>268435456</v>
    <v>1</v>
    <v>Da plataforma Refinitiv</v>
    <v>14</v>
    <v>15</v>
    <v>PARANAPANEMA S.A - EM RECUPERACAO JUDICIAL (BVMF:PMAM3)</v>
    <v>12</v>
    <v>16</v>
    <v>Finance</v>
    <v>5</v>
    <v>2.71</v>
    <v>0.76</v>
    <v>BVMF</v>
    <v>511363900</v>
    <v>1.68</v>
    <v>1961</v>
    <v>1.63</v>
    <v>1.2987</v>
    <v>B3 - Brazil Stock Exchange</v>
    <v>833523100</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1.65</v>
    <v>2229</v>
    <v>45870.958333333336</v>
    <v>796</v>
    <v>168170</v>
    <v>BRL</v>
    <v>PARANAPANEMA S.A - EM RECUPERACAO JUDICIAL</v>
    <v>PARANAPANEMA S.A - EM RECUPERACAO JUDICIAL</v>
    <v>1.67</v>
    <v>1.63</v>
    <v>Rua Felipe Camarao, 500, Bairro Utinga, SANTO ANDRE, SAO PAULO, 09.220-580 BR</v>
    <v>Metals &amp; Mining</v>
    <v>PMAM3</v>
    <v>Ações</v>
    <v>PARANAPANEMA S.A - EM RECUPERACAO JUDICIAL (BVMF:PMAM3)</v>
    <v>-0.02</v>
    <v>-1.2121E-2</v>
    <v>120000</v>
  </rv>
  <rv s="2">
    <v>797</v>
  </rv>
  <rv s="0">
    <v>https://www.bing.com/financeapi/forcetrigger?t=apmvm7&amp;q=BVMF%3aLLIS3&amp;form=skydnc</v>
    <v>Learn more on Bing</v>
  </rv>
  <rv s="8">
    <v>pt-BR</v>
    <v>apmvm7</v>
    <v>268435456</v>
    <v>1</v>
    <v>Da plataforma Refinitiv</v>
    <v>14</v>
    <v>15</v>
    <v>VESTE S.A. ESTILO (BVMF:VSTE3)</v>
    <v>12</v>
    <v>16</v>
    <v>Finance</v>
    <v>5</v>
    <v>15.2</v>
    <v>5.5</v>
    <v>BVMF</v>
    <v>114333800</v>
    <v>5.74</v>
    <v>1982</v>
    <v>5.57</v>
    <v>1.4686999999999999</v>
    <v>B3 - Brazil Stock Exchange</v>
    <v>651702900</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5.68</v>
    <v>1833</v>
    <v>45870.958333333336</v>
    <v>799</v>
    <v>8320</v>
    <v>BRL</v>
    <v>VESTE S.A. ESTILO</v>
    <v>VESTE S.A. ESTILO</v>
    <v>5.74</v>
    <v>5.7</v>
    <v>Rua Othao 405, Vila Leopoldina, SAO PAULO, SAO PAULO, 05.313-020 BR</v>
    <v>Specialty Retailers</v>
    <v>VSTE3</v>
    <v>Ações</v>
    <v>VESTE S.A. ESTILO (BVMF:VSTE3)</v>
    <v>0.02</v>
    <v>3.5210000000000003E-3</v>
    <v>10300</v>
  </rv>
  <rv s="2">
    <v>800</v>
  </rv>
  <rv s="0">
    <v>https://www.bing.com/financeapi/forcetrigger?t=apmxkr&amp;q=BVMF%3aMGEL4&amp;form=skydnc</v>
    <v>Learn more on Bing</v>
  </rv>
  <rv s="8">
    <v>pt-BR</v>
    <v>apmxkr</v>
    <v>268435456</v>
    <v>1</v>
    <v>Da plataforma Refinitiv</v>
    <v>14</v>
    <v>15</v>
    <v>Mangels Industrial S.A. (BVMF:MGEL4)</v>
    <v>12</v>
    <v>16</v>
    <v>Finance</v>
    <v>5</v>
    <v>13.05</v>
    <v>3.9</v>
    <v>BVMF</v>
    <v>5783210</v>
    <v>4.12</v>
    <v>1928</v>
    <v>3.96</v>
    <v>1.1961999999999999</v>
    <v>B3 - Brazil Stock Exchange</v>
    <v>14850280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4</v>
    <v>3100</v>
    <v>45869.947916666664</v>
    <v>802</v>
    <v>950</v>
    <v>BRL</v>
    <v>Mangels Industrial S.A.</v>
    <v>Mangels Industrial S.A.</v>
    <v>4.12</v>
    <v>4.1100000000000003</v>
    <v>Rodovia Fernao Dias, Km 755,6, Distrito Industrial, Tres Coracoes, MINAS GERAIS, 37.418-760 BR</v>
    <v>Metals &amp; Mining</v>
    <v>MGEL4</v>
    <v>Ações</v>
    <v>Mangels Industrial S.A. (BVMF:MGEL4)</v>
    <v>0.11</v>
    <v>2.75E-2</v>
    <v>3700</v>
  </rv>
  <rv s="2">
    <v>803</v>
  </rv>
  <rv s="0">
    <v>https://www.bing.com/financeapi/forcetrigger?t=apn91h&amp;q=BVMF%3aRCSL3&amp;form=skydnc</v>
    <v>Learn more on Bing</v>
  </rv>
  <rv s="8">
    <v>pt-BR</v>
    <v>apn91h</v>
    <v>268435456</v>
    <v>1</v>
    <v>Da plataforma Refinitiv</v>
    <v>14</v>
    <v>15</v>
    <v>RECRUSUL S.A. (BVMF:RCSL3)</v>
    <v>12</v>
    <v>16</v>
    <v>Finance</v>
    <v>5</v>
    <v>8.57</v>
    <v>1.78</v>
    <v>BVMF</v>
    <v>31822290</v>
    <v>1.86</v>
    <v>1954</v>
    <v>1.8</v>
    <v>1.4274</v>
    <v>B3 - Brazil Stock Exchange</v>
    <v>41624590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1.84</v>
    <v>106</v>
    <v>45870.958333333336</v>
    <v>805</v>
    <v>5074990</v>
    <v>BRL</v>
    <v>RECRUSUL S.A.</v>
    <v>RECRUSUL S.A.</v>
    <v>1.8</v>
    <v>1.82</v>
    <v>Av. Luiz Pasteur, 1020, Tres Portos, SAPUCAIA DO SUL, RIO GRANDE DO SUL, 93.212-360 BR</v>
    <v>Automobiles &amp; Auto Parts</v>
    <v>RCSL3</v>
    <v>Ações</v>
    <v>RECRUSUL S.A. (BVMF:RCSL3)</v>
    <v>-0.02</v>
    <v>-1.0869999999999999E-2</v>
    <v>131200</v>
  </rv>
  <rv s="2">
    <v>806</v>
  </rv>
  <rv s="0">
    <v>https://www.bing.com/financeapi/forcetrigger?t=c2vnz2&amp;q=BVMF%3aARML3&amp;form=skydnc</v>
    <v>Learn more on Bing</v>
  </rv>
  <rv s="8">
    <v>pt-BR</v>
    <v>c2vnz2</v>
    <v>268435456</v>
    <v>1</v>
    <v>Da plataforma Refinitiv</v>
    <v>14</v>
    <v>15</v>
    <v>Armac Locação, Logística e Serviços S.A. (BVMF:ARML3)</v>
    <v>12</v>
    <v>16</v>
    <v>Finance</v>
    <v>5</v>
    <v>9.44</v>
    <v>2.95</v>
    <v>BVMF</v>
    <v>346494100</v>
    <v>3.76</v>
    <v>1994</v>
    <v>3.57</v>
    <v>1.3512</v>
    <v>B3 - Brazil Stock Exchange</v>
    <v>1247379000</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3.54</v>
    <v>6000</v>
    <v>45870.958333333336</v>
    <v>808</v>
    <v>1688430</v>
    <v>BRL</v>
    <v>Armac Locação, Logística e Serviços S.A.</v>
    <v>Armac Locação, Logística e Serviços S.A.</v>
    <v>3.6</v>
    <v>3.6</v>
    <v>Av. Marcos Penteado de Ulhoa Rodrigues, 939, Conj. 701 e 702 Torre II, Ed. Jatoba, Tambore, BARUERI, SAO PAULO, 06.460-040 BR</v>
    <v>Professional &amp; Commercial Services</v>
    <v>ARML3</v>
    <v>Ações</v>
    <v>Armac Locação, Logística e Serviços S.A. (BVMF:ARML3)</v>
    <v>0.06</v>
    <v>1.6949000000000002E-2</v>
    <v>1667200</v>
  </rv>
  <rv s="2">
    <v>809</v>
  </rv>
  <rv s="0">
    <v>https://www.bing.com/financeapi/forcetrigger?t=az8xkr&amp;q=BVMF%3aATMP3&amp;form=skydnc</v>
    <v>Learn more on Bing</v>
  </rv>
  <rv s="8">
    <v>pt-BR</v>
    <v>az8xkr</v>
    <v>268435456</v>
    <v>1</v>
    <v>Da plataforma Refinitiv</v>
    <v>14</v>
    <v>15</v>
    <v>ATMA Participações S.A. - Em Recuperação Judicial (BVMF:CTAX3)</v>
    <v>12</v>
    <v>16</v>
    <v>Finance</v>
    <v>5</v>
    <v>1.85</v>
    <v>0.98</v>
    <v>BVMF</v>
    <v>26710360</v>
    <v>1.03</v>
    <v>2000</v>
    <v>1.01</v>
    <v>1.7254</v>
    <v>B3 - Brazil Stock Exchange</v>
    <v>26977460</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1.04</v>
    <v>57370</v>
    <v>45870.958333333336</v>
    <v>811</v>
    <v>15590</v>
    <v>BRL</v>
    <v>ATMA Participações S.A. - Em Recuperação Judicial</v>
    <v>ATMA Participações S.A. - Em Recuperação Judicial</v>
    <v>1.03</v>
    <v>1.01</v>
    <v>Rua Beneditinos, n. 15/17, Parte, Centro, RIO DE JANEIRO, RIO DE JANEIRO, 20.081-050 BR</v>
    <v>Professional &amp; Commercial Services</v>
    <v>CTAX3</v>
    <v>Ações</v>
    <v>ATMA Participações S.A. - Em Recuperação Judicial (BVMF:CTAX3)</v>
    <v>-0.03</v>
    <v>-2.8845999999999997E-2</v>
    <v>1000</v>
  </rv>
  <rv s="2">
    <v>812</v>
  </rv>
  <rv s="4">
    <v>12</v>
    <v>Preço</v>
    <v>0</v>
  </rv>
  <rv s="4">
    <v>12</v>
    <v>Volume</v>
    <v>0</v>
  </rv>
  <rv s="4">
    <v>12</v>
    <v>Variação (%)</v>
    <v>0</v>
  </rv>
  <rv s="4">
    <v>12</v>
    <v>Baixo</v>
    <v>0</v>
  </rv>
  <rv s="4">
    <v>12</v>
    <v>Alto</v>
    <v>0</v>
  </rv>
  <rv s="4">
    <v>12</v>
    <v>Fechamento anterior</v>
    <v>0</v>
  </rv>
  <rv s="0">
    <v>https://www.bing.com/financeapi/forcetrigger?t=apnetc&amp;q=BVMF%3aTAEE3&amp;form=skydnc</v>
    <v>Learn more on Bing</v>
  </rv>
  <rv s="8">
    <v>pt-BR</v>
    <v>apnetc</v>
    <v>268435456</v>
    <v>1</v>
    <v>Da plataforma Refinitiv</v>
    <v>14</v>
    <v>15</v>
    <v>Transmissora Aliança de Energia Elétrica S/A (BVMF:TAEE3)</v>
    <v>12</v>
    <v>16</v>
    <v>Finance</v>
    <v>5</v>
    <v>12.19</v>
    <v>10.17</v>
    <v>BVMF</v>
    <v>344498900</v>
    <v>11.28</v>
    <v>2006</v>
    <v>11.06</v>
    <v>0.71450000000000002</v>
    <v>B3 - Brazil Stock Exchange</v>
    <v>11520040000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11.09</v>
    <v>854</v>
    <v>45870.958333333336</v>
    <v>820</v>
    <v>1124670</v>
    <v>BRL</v>
    <v>Transmissora Aliança de Energia Elétrica S/A</v>
    <v>Transmissora Aliança de Energia Elétrica S/A</v>
    <v>11.1</v>
    <v>11.12</v>
    <v>Av. das Americas, 2480 Bloco 6, Barra da Tijuca, RIO DE JANEIRO, RIO DE JANEIRO, 22.640-101 BR</v>
    <v>Electrical Utilities &amp; IPPs</v>
    <v>TAEE3</v>
    <v>Ações</v>
    <v>Transmissora Aliança de Energia Elétrica S/A (BVMF:TAEE3)</v>
    <v>0.03</v>
    <v>2.7050000000000004E-3</v>
    <v>64700</v>
  </rv>
  <rv s="2">
    <v>821</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field" t="s"/>
    <k n="subType" t="i"/>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1">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3">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8</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8</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22</v>
      <v>2</v>
      <v>2</v>
      <v>2</v>
      <v>2</v>
    </spb>
    <spb s="19">
      <v>1</v>
      <v>2</v>
      <v>3</v>
      <v>1</v>
      <v>1</v>
      <v>10</v>
      <v>4</v>
      <v>1</v>
      <v>1</v>
      <v>4</v>
      <v>5</v>
      <v>4</v>
      <v>6</v>
      <v>1</v>
      <v>1</v>
      <v>9</v>
      <v>4</v>
      <v>1</v>
      <v>7</v>
      <v>8</v>
    </spb>
    <spb s="20">
      <v>Da plataforma Refinitiv</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8</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8</v>
    </spb>
    <spb s="25">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8</v>
      <v>Name</v>
      <v>LearnMoreOnLink</v>
    </spb>
    <spb s="26">
      <v>1</v>
      <v>3</v>
      <v>1</v>
      <v>1</v>
      <v>4</v>
      <v>1</v>
      <v>1</v>
      <v>4</v>
      <v>5</v>
      <v>6</v>
      <v>1</v>
      <v>1</v>
      <v>9</v>
      <v>4</v>
      <v>1</v>
      <v>7</v>
      <v>8</v>
    </spb>
    <spb s="27">
      <v>High</v>
      <v>Name</v>
      <v>Low</v>
      <v>Exchange</v>
      <v>Currency</v>
      <v>Price</v>
      <v>Volume</v>
      <v>Change</v>
      <v>Open</v>
      <v>UniqueName</v>
      <v>Change (%)</v>
      <v>%ProviderInfo</v>
      <v>Ticker symbol</v>
      <v>52 week high</v>
      <v>52 week low</v>
      <v>Previous close</v>
      <v>Instrument type</v>
      <v>Exchange abbreviation</v>
      <v>Market cap</v>
      <v>Last trade time</v>
    </spb>
    <spb s="28">
      <v>9</v>
      <v>Name</v>
    </spb>
    <spb s="29">
      <v>2</v>
      <v>2</v>
    </spb>
    <spb s="30">
      <v>11</v>
      <v>3</v>
      <v>11</v>
      <v>11</v>
      <v>4</v>
      <v>11</v>
      <v>11</v>
      <v>5</v>
      <v>6</v>
      <v>11</v>
      <v>11</v>
      <v>11</v>
      <v>12</v>
      <v>8</v>
    </spb>
    <spb s="31">
      <v xml:space="preserve">do fechamento anterior </v>
      <v xml:space="preserve">do fechamento anterior </v>
      <v>GMT</v>
    </spb>
    <spb s="32">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10</v>
      <v>Name</v>
      <v>LearnMoreOnLink</v>
    </spb>
    <spb s="33">
      <v>1</v>
      <v>2</v>
      <v>3</v>
      <v>1</v>
      <v>1</v>
      <v>4</v>
      <v>1</v>
      <v>1</v>
      <v>5</v>
      <v>6</v>
      <v>1</v>
      <v>1</v>
      <v>9</v>
      <v>4</v>
      <v>1</v>
      <v>7</v>
      <v>8</v>
    </spb>
  </spbData>
</supportingPropertyBags>
</file>

<file path=xl/richData/rdsupportingpropertybagstructure.xml><?xml version="1.0" encoding="utf-8"?>
<spbStructures xmlns="http://schemas.microsoft.com/office/spreadsheetml/2017/richdata2" count="34">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2"/>
    <rSty dxfid="6">
      <rpv i="0">0</rpv>
    </rSty>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EZ279"/>
  <sheetViews>
    <sheetView tabSelected="1" topLeftCell="BL4" zoomScale="120" zoomScaleNormal="120" workbookViewId="0">
      <pane xSplit="5" topLeftCell="CC1" activePane="topRight" state="frozen"/>
      <selection activeCell="BL1" sqref="BL1"/>
      <selection pane="topRight" activeCell="BP274" sqref="BP274"/>
    </sheetView>
  </sheetViews>
  <sheetFormatPr defaultColWidth="5.7109375" defaultRowHeight="15" x14ac:dyDescent="0.25"/>
  <cols>
    <col min="1" max="13" width="13.85546875" style="6" customWidth="1"/>
    <col min="14" max="14" width="13" style="6" customWidth="1"/>
    <col min="15" max="15" width="13.85546875" style="6" customWidth="1"/>
    <col min="16" max="16" width="13" style="6" customWidth="1"/>
    <col min="17" max="18" width="13.85546875" style="6" customWidth="1"/>
    <col min="19" max="19" width="13.140625" style="6" customWidth="1"/>
    <col min="20" max="47" width="13.85546875" style="6" customWidth="1"/>
    <col min="48" max="48" width="13" style="6" customWidth="1"/>
    <col min="49" max="53" width="13.85546875" style="6" customWidth="1"/>
    <col min="54" max="54" width="12.5703125" style="6" customWidth="1"/>
    <col min="55" max="55" width="10.7109375" style="6" customWidth="1"/>
    <col min="56" max="56" width="8.85546875" style="6" customWidth="1"/>
    <col min="57" max="57" width="8.7109375" style="6" customWidth="1"/>
    <col min="58" max="66" width="9.85546875" style="6" customWidth="1"/>
    <col min="67" max="67" width="9.28515625" style="6" customWidth="1"/>
    <col min="68" max="68" width="10.5703125" style="7" customWidth="1"/>
    <col min="69" max="69" width="9" style="19" customWidth="1"/>
    <col min="70" max="71" width="9" style="7" customWidth="1"/>
    <col min="72" max="72" width="3.42578125" style="22" customWidth="1"/>
    <col min="73" max="73" width="10.140625" style="16" bestFit="1" customWidth="1"/>
    <col min="74" max="74" width="1.5703125" customWidth="1"/>
    <col min="75" max="75" width="7.28515625" style="1" customWidth="1"/>
    <col min="76" max="76" width="7.7109375" style="1" customWidth="1"/>
    <col min="77" max="77" width="2.28515625" style="22" customWidth="1"/>
    <col min="78" max="78" width="7.5703125" style="22" customWidth="1"/>
    <col min="79" max="79" width="1.28515625" customWidth="1"/>
    <col min="80" max="80" width="8.140625" style="8" customWidth="1"/>
    <col min="81" max="81" width="1.85546875" style="22" customWidth="1"/>
    <col min="82" max="82" width="6.85546875" style="14" customWidth="1"/>
    <col min="83" max="83" width="9.42578125" style="14" customWidth="1"/>
    <col min="84" max="84" width="8.5703125" style="14" customWidth="1"/>
    <col min="85" max="85" width="1.85546875" style="14" customWidth="1"/>
    <col min="86" max="86" width="7.28515625" style="1" customWidth="1"/>
    <col min="87" max="87" width="7.42578125" style="1" customWidth="1"/>
    <col min="88" max="88" width="8.140625" style="1" hidden="1" customWidth="1"/>
    <col min="89" max="89" width="1.7109375" hidden="1" customWidth="1"/>
    <col min="90" max="90" width="1.42578125" style="14" hidden="1" customWidth="1"/>
    <col min="91" max="91" width="6.42578125" style="1" hidden="1" customWidth="1"/>
    <col min="92" max="92" width="7" style="1" hidden="1" customWidth="1"/>
    <col min="93" max="93" width="7.28515625" style="1" hidden="1" customWidth="1"/>
    <col min="94" max="94" width="6.85546875" style="1" hidden="1" customWidth="1"/>
    <col min="95" max="95" width="7.7109375" style="1" hidden="1" customWidth="1"/>
    <col min="96" max="97" width="6.85546875" style="1" hidden="1" customWidth="1"/>
    <col min="98" max="98" width="9" style="1" hidden="1" customWidth="1"/>
    <col min="99" max="99" width="10.42578125" style="1" hidden="1" customWidth="1"/>
    <col min="100" max="100" width="9.42578125" style="1" hidden="1" customWidth="1"/>
    <col min="101" max="114" width="8.140625" style="1" hidden="1" customWidth="1"/>
    <col min="115" max="115" width="2.7109375" hidden="1" customWidth="1"/>
    <col min="116" max="116" width="6.7109375" style="1" hidden="1" customWidth="1"/>
    <col min="117" max="117" width="7.28515625" style="1" hidden="1" customWidth="1"/>
    <col min="118" max="118" width="7.5703125" style="1" hidden="1" customWidth="1"/>
    <col min="119" max="119" width="8.7109375" style="1" hidden="1" customWidth="1"/>
    <col min="120" max="120" width="9.28515625" style="1" hidden="1" customWidth="1"/>
    <col min="121" max="121" width="9.140625" style="1" hidden="1" customWidth="1"/>
    <col min="122" max="124" width="1.5703125" style="1" hidden="1" customWidth="1"/>
    <col min="125" max="125" width="9.140625" style="81" hidden="1" customWidth="1"/>
    <col min="126" max="126" width="7.85546875" style="82" customWidth="1"/>
    <col min="127" max="127" width="7.5703125" style="73" customWidth="1"/>
    <col min="128" max="128" width="1.5703125" style="1" customWidth="1"/>
    <col min="129" max="129" width="6" style="1" customWidth="1"/>
    <col min="130" max="130" width="1.28515625" style="1" customWidth="1"/>
    <col min="131" max="131" width="1.7109375" style="1" customWidth="1"/>
    <col min="132" max="134" width="2.28515625" style="1" customWidth="1"/>
    <col min="135" max="135" width="12" style="1" customWidth="1"/>
    <col min="136" max="136" width="6.5703125" style="1" customWidth="1"/>
    <col min="137" max="137" width="16.85546875" style="1" customWidth="1"/>
    <col min="138" max="139" width="15.28515625" style="1" customWidth="1"/>
    <col min="140" max="140" width="1.85546875" style="1" customWidth="1"/>
    <col min="141" max="141" width="6.140625" style="1" customWidth="1"/>
    <col min="142" max="142" width="9.28515625" style="1" customWidth="1"/>
    <col min="143" max="143" width="9.140625" style="1" customWidth="1"/>
    <col min="144" max="144" width="10.5703125" customWidth="1"/>
    <col min="145" max="145" width="8.28515625" style="1" customWidth="1"/>
    <col min="146" max="146" width="15.85546875" style="1" customWidth="1"/>
    <col min="147" max="147" width="1.42578125" style="1" customWidth="1"/>
    <col min="148" max="149" width="12.28515625" style="1" customWidth="1"/>
    <col min="150" max="150" width="13.85546875" style="1" customWidth="1"/>
    <col min="151" max="151" width="9" style="1" customWidth="1"/>
    <col min="152" max="152" width="10.28515625" style="1" customWidth="1"/>
    <col min="153" max="153" width="2" customWidth="1"/>
    <col min="154" max="154" width="11.7109375" style="1" customWidth="1"/>
    <col min="155" max="155" width="10.85546875" style="1" customWidth="1"/>
    <col min="156" max="156" width="3.7109375" customWidth="1"/>
    <col min="157" max="157" width="32.7109375" style="1" customWidth="1"/>
    <col min="158" max="158" width="4.28515625" style="1" customWidth="1"/>
    <col min="159" max="16384" width="5.7109375" style="1"/>
  </cols>
  <sheetData>
    <row r="1" spans="1:155" x14ac:dyDescent="0.25">
      <c r="BF1" s="6">
        <v>19.350000000000001</v>
      </c>
      <c r="BG1" s="6">
        <v>19.399999999999999</v>
      </c>
      <c r="BH1" s="6">
        <v>19.41</v>
      </c>
      <c r="BI1" s="6">
        <v>18.77</v>
      </c>
      <c r="BJ1" s="6">
        <v>18.91</v>
      </c>
      <c r="BK1" s="6">
        <v>19.489999999999998</v>
      </c>
      <c r="BL1" s="6">
        <v>19.55</v>
      </c>
      <c r="BM1" s="6">
        <v>19.38</v>
      </c>
      <c r="BN1" s="6">
        <v>19.47</v>
      </c>
      <c r="BO1" s="87" cm="1">
        <f t="array" aca="1" ref="BO1" ca="1">_FV(BP1,"Preço")</f>
        <v>19.47</v>
      </c>
      <c r="BP1" s="1" t="e" vm="1">
        <v>#VALUE!</v>
      </c>
    </row>
    <row r="2" spans="1:155" x14ac:dyDescent="0.25">
      <c r="BG2" s="86">
        <f>(BG1/$BF1)-1</f>
        <v>2.5839793281652312E-3</v>
      </c>
      <c r="BH2" s="86">
        <f t="shared" ref="BH2:BO2" si="0">(BH1/$BF1)-1</f>
        <v>3.1007751937983663E-3</v>
      </c>
      <c r="BI2" s="86">
        <f t="shared" si="0"/>
        <v>-2.9974160206718392E-2</v>
      </c>
      <c r="BJ2" s="86">
        <v>-2.2739018087855389E-2</v>
      </c>
      <c r="BK2" s="86">
        <v>7.2351421188630027E-3</v>
      </c>
      <c r="BL2" s="86">
        <v>1.0335917312661369E-2</v>
      </c>
      <c r="BM2" s="86">
        <v>1.5503875968991832E-3</v>
      </c>
      <c r="BN2" s="86">
        <v>6.2015503875967326E-3</v>
      </c>
      <c r="BO2" s="86">
        <f t="shared" ca="1" si="0"/>
        <v>6.2015503875967326E-3</v>
      </c>
      <c r="BP2" s="8">
        <f ca="1">AVERAGE(BG2:BO2)</f>
        <v>-1.7226528854436848E-3</v>
      </c>
      <c r="BU2" s="88" cm="1">
        <f t="array" aca="1" ref="BU2" ca="1">_FV(BP1,"Variação (%)",TRUE)</f>
        <v>1.1953999999999999E-2</v>
      </c>
    </row>
    <row r="3" spans="1:155" x14ac:dyDescent="0.25">
      <c r="BE3" s="76">
        <v>137026</v>
      </c>
      <c r="BF3" s="76">
        <v>136102</v>
      </c>
      <c r="BG3" s="76">
        <v>137212</v>
      </c>
      <c r="BH3" s="76">
        <v>137115.82999999999</v>
      </c>
      <c r="BI3" s="76">
        <v>136865.79</v>
      </c>
      <c r="BJ3" s="76">
        <v>141263.56</v>
      </c>
      <c r="BK3" s="76">
        <v>136187.31</v>
      </c>
      <c r="BL3" s="76">
        <v>133381.57999999999</v>
      </c>
      <c r="BM3" s="76">
        <v>133524.18</v>
      </c>
      <c r="BN3" s="76">
        <v>132437.39000000001</v>
      </c>
      <c r="BO3" s="76" cm="1">
        <f t="array" aca="1" ref="BO3" ca="1">_FV(BP3,"Preço")</f>
        <v>132437.39000000001</v>
      </c>
      <c r="BP3" s="1" t="e" vm="2">
        <v>#VALUE!</v>
      </c>
      <c r="BT3" s="1"/>
      <c r="CH3" s="8"/>
      <c r="DV3" s="83"/>
    </row>
    <row r="4" spans="1:155" x14ac:dyDescent="0.25">
      <c r="BG4" s="86">
        <f>(BG3/$BF3)-1</f>
        <v>8.1556479699049778E-3</v>
      </c>
      <c r="BH4" s="86">
        <f>(BH3/$BF3)-1</f>
        <v>7.4490455687645785E-3</v>
      </c>
      <c r="BI4" s="86">
        <f>(BI3/$BF3)-1</f>
        <v>5.6118940206610901E-3</v>
      </c>
      <c r="BJ4" s="86">
        <v>3.7924203905894016E-2</v>
      </c>
      <c r="BK4" s="86">
        <v>6.268093047860912E-4</v>
      </c>
      <c r="BL4" s="86">
        <v>-1.9988097162422447E-2</v>
      </c>
      <c r="BM4" s="86">
        <v>-1.8940353558360656E-2</v>
      </c>
      <c r="BN4" s="86">
        <v>-2.6925467663957758E-2</v>
      </c>
      <c r="BO4" s="86">
        <f ca="1">(BO3/$BF3)-1</f>
        <v>-2.6925467663957758E-2</v>
      </c>
      <c r="BP4" s="8">
        <f ca="1">AVERAGE(BG4:BO4)</f>
        <v>-3.6679761420764295E-3</v>
      </c>
      <c r="BU4" s="88" cm="1">
        <f t="array" aca="1" ref="BU4" ca="1">_FV(BP3,"Variação (%)",TRUE)</f>
        <v>-4.7619999999999997E-3</v>
      </c>
    </row>
    <row r="5" spans="1:155" s="3" customFormat="1" ht="11.25" x14ac:dyDescent="0.2">
      <c r="A5" s="11">
        <v>45415</v>
      </c>
      <c r="B5" s="11">
        <v>45422</v>
      </c>
      <c r="C5" s="11">
        <v>45429</v>
      </c>
      <c r="D5" s="11">
        <v>45436</v>
      </c>
      <c r="E5" s="11">
        <v>45443</v>
      </c>
      <c r="F5" s="11">
        <v>45450</v>
      </c>
      <c r="G5" s="11">
        <v>45457</v>
      </c>
      <c r="H5" s="11">
        <v>45464</v>
      </c>
      <c r="I5" s="11">
        <v>45471</v>
      </c>
      <c r="J5" s="11">
        <v>45478</v>
      </c>
      <c r="K5" s="11">
        <v>45485</v>
      </c>
      <c r="L5" s="11">
        <v>45492</v>
      </c>
      <c r="M5" s="11">
        <v>45499</v>
      </c>
      <c r="N5" s="11" t="s">
        <v>0</v>
      </c>
      <c r="O5" s="11">
        <v>45513</v>
      </c>
      <c r="P5" s="11" t="s">
        <v>1</v>
      </c>
      <c r="Q5" s="11">
        <v>45528</v>
      </c>
      <c r="R5" s="11">
        <v>45534</v>
      </c>
      <c r="S5" s="11" t="s">
        <v>2</v>
      </c>
      <c r="T5" s="11">
        <v>45548</v>
      </c>
      <c r="U5" s="11">
        <v>45555</v>
      </c>
      <c r="V5" s="11">
        <v>45562</v>
      </c>
      <c r="W5" s="11">
        <v>45569</v>
      </c>
      <c r="X5" s="11">
        <v>45576</v>
      </c>
      <c r="Y5" s="11">
        <v>45583</v>
      </c>
      <c r="Z5" s="11">
        <v>45590</v>
      </c>
      <c r="AA5" s="11">
        <v>45597</v>
      </c>
      <c r="AB5" s="11">
        <v>45604</v>
      </c>
      <c r="AC5" s="11">
        <v>45611</v>
      </c>
      <c r="AD5" s="11">
        <v>45618</v>
      </c>
      <c r="AE5" s="11">
        <v>45625</v>
      </c>
      <c r="AF5" s="11">
        <v>45632</v>
      </c>
      <c r="AG5" s="11">
        <v>45639</v>
      </c>
      <c r="AH5" s="11">
        <v>45649</v>
      </c>
      <c r="AI5" s="11">
        <v>45653</v>
      </c>
      <c r="AJ5" s="11">
        <v>45660</v>
      </c>
      <c r="AK5" s="11">
        <v>45667</v>
      </c>
      <c r="AL5" s="11">
        <v>45674</v>
      </c>
      <c r="AM5" s="11">
        <v>45681</v>
      </c>
      <c r="AN5" s="11">
        <v>45688</v>
      </c>
      <c r="AO5" s="11">
        <v>45695</v>
      </c>
      <c r="AP5" s="11">
        <v>45702</v>
      </c>
      <c r="AQ5" s="11">
        <v>45709</v>
      </c>
      <c r="AR5" s="11">
        <v>45716</v>
      </c>
      <c r="AS5" s="11">
        <v>45723</v>
      </c>
      <c r="AT5" s="11">
        <v>45730</v>
      </c>
      <c r="AU5" s="11">
        <v>45737</v>
      </c>
      <c r="AV5" s="11">
        <v>45744</v>
      </c>
      <c r="AW5" s="11">
        <v>45751</v>
      </c>
      <c r="AX5" s="11">
        <v>45758</v>
      </c>
      <c r="AY5" s="11">
        <v>45765</v>
      </c>
      <c r="AZ5" s="11">
        <v>45772</v>
      </c>
      <c r="BA5" s="11">
        <v>45778</v>
      </c>
      <c r="BB5" s="50">
        <v>45785</v>
      </c>
      <c r="BC5" s="50">
        <v>45792</v>
      </c>
      <c r="BD5" s="50">
        <v>45800</v>
      </c>
      <c r="BE5" s="50">
        <v>45807</v>
      </c>
      <c r="BF5" s="50">
        <v>45814</v>
      </c>
      <c r="BG5" s="68">
        <v>45821</v>
      </c>
      <c r="BH5" s="50">
        <v>45828</v>
      </c>
      <c r="BI5" s="50">
        <v>45835</v>
      </c>
      <c r="BJ5" s="50">
        <v>45842</v>
      </c>
      <c r="BK5" s="50">
        <v>45849</v>
      </c>
      <c r="BL5" s="50">
        <v>45856</v>
      </c>
      <c r="BM5" s="50">
        <v>45863</v>
      </c>
      <c r="BN5" s="50">
        <v>45870</v>
      </c>
      <c r="BO5" s="50" t="s">
        <v>272</v>
      </c>
      <c r="BP5" s="38" t="s">
        <v>475</v>
      </c>
      <c r="BQ5" s="51" t="s">
        <v>493</v>
      </c>
      <c r="BR5" s="50" t="s">
        <v>284</v>
      </c>
      <c r="BS5" s="38" t="s">
        <v>284</v>
      </c>
      <c r="BT5" s="3" t="s">
        <v>285</v>
      </c>
      <c r="BU5" s="28" t="s">
        <v>476</v>
      </c>
      <c r="BW5" s="38" t="s">
        <v>477</v>
      </c>
      <c r="BX5" s="38" t="s">
        <v>478</v>
      </c>
      <c r="BZ5" s="64" t="s">
        <v>479</v>
      </c>
      <c r="CB5" s="50" t="s">
        <v>501</v>
      </c>
      <c r="CD5" s="61" t="s">
        <v>481</v>
      </c>
      <c r="CE5" s="61" t="s">
        <v>483</v>
      </c>
      <c r="CF5" s="61" t="s">
        <v>482</v>
      </c>
      <c r="CG5" s="14"/>
      <c r="CH5" s="38" t="s">
        <v>494</v>
      </c>
      <c r="CI5" s="38" t="s">
        <v>504</v>
      </c>
      <c r="CJ5" s="38" t="s">
        <v>495</v>
      </c>
      <c r="CL5" s="14"/>
      <c r="CM5" s="38" t="s">
        <v>484</v>
      </c>
      <c r="CN5" s="38" t="s">
        <v>485</v>
      </c>
      <c r="CO5" s="38" t="s">
        <v>486</v>
      </c>
      <c r="CP5" s="38" t="s">
        <v>487</v>
      </c>
      <c r="CQ5" s="38" t="s">
        <v>488</v>
      </c>
      <c r="CR5" s="38" t="s">
        <v>489</v>
      </c>
      <c r="CS5" s="38" t="s">
        <v>490</v>
      </c>
      <c r="CT5" s="3" t="s">
        <v>491</v>
      </c>
      <c r="CU5" s="3" t="s">
        <v>492</v>
      </c>
      <c r="CV5" s="8" t="s">
        <v>268</v>
      </c>
      <c r="CW5" s="38" t="s">
        <v>275</v>
      </c>
      <c r="CX5" s="28" t="s">
        <v>269</v>
      </c>
      <c r="CY5" s="28" t="s">
        <v>271</v>
      </c>
      <c r="CZ5" s="28" t="s">
        <v>270</v>
      </c>
      <c r="DA5" s="28" t="s">
        <v>279</v>
      </c>
      <c r="DB5" s="28" t="s">
        <v>280</v>
      </c>
      <c r="DC5" s="28" t="s">
        <v>281</v>
      </c>
      <c r="DD5" s="28" t="s">
        <v>283</v>
      </c>
      <c r="DE5" s="28" t="s">
        <v>280</v>
      </c>
      <c r="DF5" s="28" t="s">
        <v>282</v>
      </c>
      <c r="DG5" s="28" t="s">
        <v>270</v>
      </c>
      <c r="DH5" s="28" t="s">
        <v>271</v>
      </c>
      <c r="DI5" s="28" t="s">
        <v>269</v>
      </c>
      <c r="DJ5" s="38" t="s">
        <v>275</v>
      </c>
      <c r="DL5" s="38" t="s">
        <v>273</v>
      </c>
      <c r="DM5" s="38" t="s">
        <v>278</v>
      </c>
      <c r="DN5" s="3" t="s">
        <v>274</v>
      </c>
      <c r="DO5" s="38" t="s">
        <v>276</v>
      </c>
      <c r="DP5" s="38" t="s">
        <v>491</v>
      </c>
      <c r="DQ5" s="38" t="s">
        <v>492</v>
      </c>
      <c r="DU5" s="85" t="s">
        <v>502</v>
      </c>
      <c r="DV5" s="85" t="s">
        <v>502</v>
      </c>
      <c r="DW5" s="74" t="s">
        <v>496</v>
      </c>
      <c r="DY5" s="17" t="s">
        <v>277</v>
      </c>
      <c r="EE5" s="3" t="s">
        <v>464</v>
      </c>
      <c r="EF5" s="3" t="s">
        <v>289</v>
      </c>
      <c r="EG5" s="3" t="s">
        <v>463</v>
      </c>
      <c r="EH5" s="38" t="s">
        <v>465</v>
      </c>
      <c r="EI5" s="38" t="s">
        <v>465</v>
      </c>
      <c r="EL5" s="38" t="s">
        <v>472</v>
      </c>
      <c r="EM5" s="38" t="s">
        <v>473</v>
      </c>
      <c r="EN5" s="38" t="s">
        <v>474</v>
      </c>
      <c r="EO5" s="38" t="s">
        <v>289</v>
      </c>
      <c r="EP5" s="38" t="s">
        <v>467</v>
      </c>
      <c r="ER5" s="38" t="s">
        <v>301</v>
      </c>
      <c r="ES5" s="38" t="s">
        <v>470</v>
      </c>
      <c r="ET5" s="38" t="s">
        <v>469</v>
      </c>
      <c r="EU5" s="38" t="s">
        <v>480</v>
      </c>
      <c r="EV5" s="38" t="s">
        <v>468</v>
      </c>
      <c r="EX5" s="38" t="s">
        <v>471</v>
      </c>
      <c r="EY5" s="38" t="s">
        <v>466</v>
      </c>
    </row>
    <row r="6" spans="1:155" s="2" customFormat="1" ht="11.25" x14ac:dyDescent="0.2">
      <c r="A6" s="4">
        <v>9</v>
      </c>
      <c r="B6" s="4">
        <v>9</v>
      </c>
      <c r="C6" s="4">
        <v>9</v>
      </c>
      <c r="D6" s="4">
        <v>9</v>
      </c>
      <c r="E6" s="4">
        <v>9</v>
      </c>
      <c r="F6" s="4">
        <v>9</v>
      </c>
      <c r="G6" s="4">
        <v>9</v>
      </c>
      <c r="H6" s="4">
        <v>9</v>
      </c>
      <c r="I6" s="4">
        <v>9</v>
      </c>
      <c r="J6" s="4">
        <v>8.24</v>
      </c>
      <c r="K6" s="4">
        <v>8.24</v>
      </c>
      <c r="L6" s="4">
        <v>8.24</v>
      </c>
      <c r="M6" s="4">
        <v>8.24</v>
      </c>
      <c r="N6" s="4">
        <v>8.24</v>
      </c>
      <c r="O6" s="4">
        <v>8.24</v>
      </c>
      <c r="P6" s="4">
        <v>8.24</v>
      </c>
      <c r="Q6" s="4">
        <v>8.24</v>
      </c>
      <c r="R6" s="4">
        <v>8.24</v>
      </c>
      <c r="S6" s="4">
        <v>8.24</v>
      </c>
      <c r="T6" s="4">
        <v>8.24</v>
      </c>
      <c r="U6" s="4">
        <v>8.24</v>
      </c>
      <c r="V6" s="4">
        <v>8.24</v>
      </c>
      <c r="W6" s="4">
        <v>8.24</v>
      </c>
      <c r="X6" s="4">
        <v>8.24</v>
      </c>
      <c r="Y6" s="4">
        <v>8.24</v>
      </c>
      <c r="Z6" s="4">
        <v>8.24</v>
      </c>
      <c r="AA6" s="4">
        <v>8.24</v>
      </c>
      <c r="AB6" s="4">
        <v>8.24</v>
      </c>
      <c r="AC6" s="4">
        <v>8.24</v>
      </c>
      <c r="AD6" s="4">
        <v>8.24</v>
      </c>
      <c r="AE6" s="4">
        <v>8.24</v>
      </c>
      <c r="AF6" s="4">
        <v>8.24</v>
      </c>
      <c r="AG6" s="4">
        <v>8.24</v>
      </c>
      <c r="AH6" s="4">
        <v>8.24</v>
      </c>
      <c r="AI6" s="4">
        <v>8.24</v>
      </c>
      <c r="AJ6" s="4">
        <v>8.24</v>
      </c>
      <c r="AK6" s="4">
        <v>8.24</v>
      </c>
      <c r="AL6" s="4">
        <v>8.24</v>
      </c>
      <c r="AM6" s="4">
        <v>8.24</v>
      </c>
      <c r="AN6" s="4">
        <v>8.24</v>
      </c>
      <c r="AO6" s="4">
        <v>8.24</v>
      </c>
      <c r="AP6" s="4">
        <v>8.24</v>
      </c>
      <c r="AQ6" s="4">
        <v>8.24</v>
      </c>
      <c r="AR6" s="4">
        <v>8.24</v>
      </c>
      <c r="AS6" s="4">
        <v>8.24</v>
      </c>
      <c r="AT6" s="4">
        <v>8.24</v>
      </c>
      <c r="AU6" s="4">
        <v>8.24</v>
      </c>
      <c r="AV6" s="4">
        <v>8.24</v>
      </c>
      <c r="AW6" s="4">
        <v>8.24</v>
      </c>
      <c r="AX6" s="4">
        <v>8.25</v>
      </c>
      <c r="AY6" s="12">
        <v>8.25</v>
      </c>
      <c r="AZ6" s="12">
        <v>8.25</v>
      </c>
      <c r="BA6" s="12">
        <v>8.25</v>
      </c>
      <c r="BB6" s="15">
        <v>8.25</v>
      </c>
      <c r="BC6" s="52">
        <v>8.25</v>
      </c>
      <c r="BD6" s="52">
        <v>8.25</v>
      </c>
      <c r="BE6" s="52">
        <v>8.25</v>
      </c>
      <c r="BF6" s="52">
        <v>8.25</v>
      </c>
      <c r="BG6" s="67">
        <v>8.0500000000000007</v>
      </c>
      <c r="BH6" s="52">
        <v>8.0500000000000007</v>
      </c>
      <c r="BI6" s="52">
        <v>8.0500000000000007</v>
      </c>
      <c r="BJ6" s="52">
        <v>8.0500000000000007</v>
      </c>
      <c r="BK6" s="52">
        <v>8.0500000000000007</v>
      </c>
      <c r="BL6" s="52">
        <v>8.0500000000000007</v>
      </c>
      <c r="BM6" s="52">
        <v>8.0500000000000007</v>
      </c>
      <c r="BN6" s="52">
        <v>6.52</v>
      </c>
      <c r="BO6" s="52" cm="1">
        <f t="array" aca="1" ref="BO6" ca="1">_FV(EC6,"Preço")</f>
        <v>6.52</v>
      </c>
      <c r="BP6" s="69" t="s">
        <v>3</v>
      </c>
      <c r="BQ6" s="36" t="e" cm="1" vm="3">
        <f t="array" ref="BQ6">_FV(EC6,"Média de volume",TRUE)</f>
        <v>#VALUE!</v>
      </c>
      <c r="BR6" s="36">
        <v>300</v>
      </c>
      <c r="BS6" s="36" cm="1">
        <f t="array" aca="1" ref="BS6" ca="1">_FV(EC6,"Volume")</f>
        <v>300</v>
      </c>
      <c r="BT6" s="24" cm="1">
        <f t="array" aca="1" ref="BT6" ca="1">_FV(EC6,"Beta")</f>
        <v>0.64129999999999998</v>
      </c>
      <c r="BU6" s="71" cm="1">
        <f t="array" aca="1" ref="BU6" ca="1">_FV(EC6,"Variação (%)",TRUE)</f>
        <v>-0.19006200000000001</v>
      </c>
      <c r="BW6" s="17" cm="1">
        <f t="array" aca="1" ref="BW6" ca="1">_FV(EC6,"Baixo")</f>
        <v>6.52</v>
      </c>
      <c r="BX6" s="17" cm="1">
        <f t="array" aca="1" ref="BX6" ca="1">_FV(EC6,"Alto")</f>
        <v>6.88</v>
      </c>
      <c r="BY6" s="24"/>
      <c r="BZ6" s="63">
        <f ca="1">SQRT(22.5*(BO6/VLOOKUP(BP6,Fundamentus!A:U,3,FALSE))*(BO6/VLOOKUP(BP6,Fundamentus!A:U,4,FALSE)))</f>
        <v>5.6220825354394215</v>
      </c>
      <c r="CB6" s="62">
        <f ca="1">(BO6 - BN6) / BN6</f>
        <v>0</v>
      </c>
      <c r="CC6" s="8"/>
      <c r="CD6" s="61">
        <f>MIN(A6:BN6)</f>
        <v>6.52</v>
      </c>
      <c r="CE6" s="61">
        <f>MAX(A6:BN6)</f>
        <v>9</v>
      </c>
      <c r="CF6" s="61">
        <f>AVERAGE(A6:BN6)</f>
        <v>8.2987878787878806</v>
      </c>
      <c r="CG6" s="14"/>
      <c r="CH6" s="35">
        <f t="shared" ref="CH6:CH69" si="1">CI6-DY6*2</f>
        <v>5.2959999999999807</v>
      </c>
      <c r="CI6" s="15">
        <f>FORECAST("08/08/2025", BK6:BN6, $BK$5:$BN$5)</f>
        <v>6.5199999999999818</v>
      </c>
      <c r="CJ6" s="35">
        <f t="shared" ref="CJ6:CJ69" si="2">CI6+DY6*2</f>
        <v>7.7439999999999829</v>
      </c>
      <c r="CL6" s="14"/>
      <c r="CM6" s="17">
        <f t="shared" ref="CM6:CM69" si="3">CD6-2*(CE6-CP6)</f>
        <v>3.2133333333333329</v>
      </c>
      <c r="CN6" s="17">
        <f t="shared" ref="CN6:CN69" si="4">CP6-(CE6-CD6)</f>
        <v>4.8666666666666663</v>
      </c>
      <c r="CO6" s="17">
        <f t="shared" ref="CO6:CO69" si="5">2*CP6-CE6</f>
        <v>5.6933333333333334</v>
      </c>
      <c r="CP6" s="38">
        <f>(CE6+CD6+BN6)/3</f>
        <v>7.3466666666666667</v>
      </c>
      <c r="CQ6" s="17">
        <f t="shared" ref="CQ6:CQ69" si="6">2*CP6-CD6</f>
        <v>8.1733333333333338</v>
      </c>
      <c r="CR6" s="17">
        <f t="shared" ref="CR6:CR69" si="7">CP6+(CE6-CD6)</f>
        <v>9.826666666666668</v>
      </c>
      <c r="CS6" s="17">
        <f t="shared" ref="CS6:CS69" si="8">CE6+2*(CP6-CD6)</f>
        <v>10.653333333333334</v>
      </c>
      <c r="CT6" s="2" cm="1">
        <f t="array" aca="1" ref="CT6" ca="1">MAX(_xlfn._xlws.FILTER(CM6:CS6,CM6:CS6&lt;BO6))</f>
        <v>5.6933333333333334</v>
      </c>
      <c r="CU6" s="2" cm="1">
        <f t="array" aca="1" ref="CU6" ca="1">MIN(_xlfn._xlws.FILTER($CM6:$CS6,$CM6:$CS6&gt;BO6))</f>
        <v>7.3466666666666667</v>
      </c>
      <c r="CV6" s="16">
        <f ca="1">(CU6/CT6)-1</f>
        <v>0.29039812646370033</v>
      </c>
      <c r="CW6" s="20">
        <f ca="1">-$CV6/2</f>
        <v>-0.14519906323185017</v>
      </c>
      <c r="CX6" s="20">
        <f ca="1">-$CV6/3</f>
        <v>-9.6799375487900116E-2</v>
      </c>
      <c r="CY6" s="20">
        <f ca="1">-$CV6/5</f>
        <v>-5.8079625292740064E-2</v>
      </c>
      <c r="CZ6" s="20">
        <f ca="1">-$CV6/9</f>
        <v>-3.2266458495966703E-2</v>
      </c>
      <c r="DA6" s="20">
        <f t="shared" ref="DA6:DA7" ca="1" si="9">-$CV6/17</f>
        <v>-1.7082242733158844E-2</v>
      </c>
      <c r="DB6" s="20">
        <f t="shared" ref="DB6:DB7" ca="1" si="10">-$CV6/33</f>
        <v>-8.7999432261727378E-3</v>
      </c>
      <c r="DC6" s="20">
        <f t="shared" ref="DC6:DC7" ca="1" si="11">-$CV6/65</f>
        <v>-4.4676634840569284E-3</v>
      </c>
      <c r="DD6" s="21">
        <f t="shared" ref="DD6:DD7" ca="1" si="12">-$CV6/65*-1</f>
        <v>4.4676634840569284E-3</v>
      </c>
      <c r="DE6" s="21">
        <f t="shared" ref="DE6:DE7" ca="1" si="13">-$CV6/33*-1</f>
        <v>8.7999432261727378E-3</v>
      </c>
      <c r="DF6" s="21">
        <f t="shared" ref="DF6:DF7" ca="1" si="14">-$CV6/17*-1</f>
        <v>1.7082242733158844E-2</v>
      </c>
      <c r="DG6" s="21">
        <f ca="1">-$CV6/9*-1</f>
        <v>3.2266458495966703E-2</v>
      </c>
      <c r="DH6" s="21">
        <f ca="1">-$CV6/5*-1</f>
        <v>5.8079625292740064E-2</v>
      </c>
      <c r="DI6" s="21">
        <f ca="1">-$CV6/3*-1</f>
        <v>9.6799375487900116E-2</v>
      </c>
      <c r="DJ6" s="21">
        <f ca="1">-$CV6/2*-1</f>
        <v>0.14519906323185017</v>
      </c>
      <c r="DL6" s="16" t="e" cm="1" vm="4">
        <f t="array" aca="1" ref="DL6" ca="1">MAX(_xlfn._xlws.FILTER(CW6:DJ6,CW6:DJ6&lt;BU6))</f>
        <v>#VALUE!</v>
      </c>
      <c r="DM6" s="16" cm="1">
        <f t="array" aca="1" ref="DM6" ca="1">MIN(_xlfn._xlws.FILTER(CW6:DJ6,CW6:DJ6&gt;BU6))</f>
        <v>-0.14519906323185017</v>
      </c>
      <c r="DN6" s="2" cm="1">
        <f t="array" aca="1" ref="DN6" ca="1">_FV(EC6,"Fechamento anterior",TRUE)</f>
        <v>8.0500000000000007</v>
      </c>
      <c r="DO6" s="28" t="e" vm="5">
        <f t="shared" ref="DO6:DO69" ca="1" si="15">(BO6-DP6)/(DQ6-DP6)</f>
        <v>#VALUE!</v>
      </c>
      <c r="DP6" s="15" t="e" vm="5">
        <f t="shared" ref="DP6:DP13" ca="1" si="16">DN6+(DN6*DL6)</f>
        <v>#VALUE!</v>
      </c>
      <c r="DQ6" s="15">
        <f t="shared" ref="DQ6:DQ13" ca="1" si="17">DN6+(DN6*DM6)</f>
        <v>6.8811475409836067</v>
      </c>
      <c r="DR6" s="9"/>
      <c r="DS6" s="9"/>
      <c r="DT6" s="9"/>
      <c r="DU6" s="89" t="e" vm="5">
        <v>#VALUE!</v>
      </c>
      <c r="DV6" s="89" t="e" vm="5">
        <f t="shared" ref="DV6:DV69" ca="1" si="18">DM6-DL6</f>
        <v>#VALUE!</v>
      </c>
      <c r="DW6" s="72">
        <f t="shared" ref="DW6:DW69" ca="1" si="19">(BO6-CI6)/(CI6-CH6)</f>
        <v>1.4512719276145823E-14</v>
      </c>
      <c r="DX6" s="37"/>
      <c r="DY6" s="35">
        <f>_xlfn.STDEV.P(BJ6:BN6)</f>
        <v>0.61200000000000043</v>
      </c>
      <c r="DZ6" s="56"/>
      <c r="EA6" s="56"/>
      <c r="EC6" s="2" t="e" vm="6">
        <v>#VALUE!</v>
      </c>
      <c r="EE6" s="10" cm="1">
        <f t="array" aca="1" ref="EE6" ca="1">_FV(EC6,"Ações em circulação",TRUE)</f>
        <v>4453440</v>
      </c>
      <c r="EF6" s="18">
        <f>VLOOKUP(BP6,Fundamentus!A:U,5,FALSE)</f>
        <v>1.593</v>
      </c>
      <c r="EG6" s="2">
        <f t="shared" ref="EG6:EG69" ca="1" si="20">(BO6*EE6)/EF6</f>
        <v>18227513.370998114</v>
      </c>
      <c r="EH6" s="17">
        <v>3166119.0725423722</v>
      </c>
      <c r="EI6" s="17">
        <f t="shared" ref="EI6:EI69" ca="1" si="21">EG6*EU6</f>
        <v>3166119.0725423722</v>
      </c>
      <c r="EK6" s="16">
        <f t="shared" ref="EK6:EK65" ca="1" si="22">(EI6/EH6)-1</f>
        <v>0</v>
      </c>
      <c r="EL6" s="45" t="str">
        <f>IF(VLOOKUP(BP6,Fundamentus!A:U,3,FALSE)&lt;15,"Bom",IF(VLOOKUP(BP6,Fundamentus!A:U,3,FALSE)&gt;15,"Ruim","n/a"))</f>
        <v>Bom</v>
      </c>
      <c r="EM6" s="46" t="str">
        <f>IF(VLOOKUP(BP6,Fundamentus!A:U,4,FALSE)&lt;1,"Baixo",IF(VLOOKUP(BP6,Fundamentus!A:U,4,FALSE)&lt;1.5,"Moderado",IF(VLOOKUP(BP6,Fundamentus!A:U,4,FALSE)&gt;1.5,"Alto","n/a")))</f>
        <v>Alto</v>
      </c>
      <c r="EN6" s="30" t="str">
        <f>IF(VLOOKUP(BP6,Fundamentus!A:U,8,FALSE)&lt;0,"Risco elevado",IF(VLOOKUP(BP6,Fundamentus!A:U,8,FALSE)&lt;1,"Saudável",IF(VLOOKUP(BP6,Fundamentus!A:U,8,FALSE)&lt;3,"Estável",IF(VLOOKUP(BP6,Fundamentus!A:U,8,FALSE)&gt;3,"Alerta","n/a"))))</f>
        <v>Alerta</v>
      </c>
      <c r="EO6" s="46" t="str">
        <f t="shared" ref="EO6:EO69" si="23">IF(EF6&gt;1,"Bom","Ruim")</f>
        <v>Bom</v>
      </c>
      <c r="EP6" s="30" t="str">
        <f>IF(VLOOKUP(BP6,Fundamentus!A:U,12,FALSE)&lt;2,"Subvalorizada",IF(VLOOKUP(BP6,Fundamentus!A:U,12,FALSE)&lt;6,"Muita barata",IF(VLOOKUP(BP6,Fundamentus!A:U,12,FALSE)&lt;6,"Barata",IF(VLOOKUP(BP6,Fundamentus!A:U,12,FALSE)&lt;8,"Atrativa",IF(VLOOKUP(BP6,Fundamentus!A:U,12,FALSE)&gt;8,"Supervalorizada","n/a")))))</f>
        <v>Atrativa</v>
      </c>
      <c r="ER6" s="30" t="str">
        <f>IF(VLOOKUP(BP6,Fundamentus!A:U,17,FALSE)&lt;0.1,"Fraco retorno",IF(VLOOKUP(BP6,Fundamentus!A:U,17,FALSE)&gt;0.1,"Bom retorno","n/a"))</f>
        <v>Bom retorno</v>
      </c>
      <c r="ES6" s="30" t="str">
        <f>IF(VLOOKUP(BP6,Fundamentus!A:U,16,FALSE)&lt;0.1,"Ineficiente",IF(VLOOKUP(BP6,Fundamentus!A:U,16,FALSE)&gt;0.1,"Eficiente","n/a"))</f>
        <v>Eficiente</v>
      </c>
      <c r="ET6" s="47" t="str">
        <f>IF(VLOOKUP(BP6,Fundamentus!A:U,16,FALSE)&lt;0.1,"Oper.Ineficiente",IF(VLOOKUP(BP6,Fundamentus!A:U,16,FALSE)&gt;0.1,"Oper.Eficiente","n/a"))</f>
        <v>Oper.Eficiente</v>
      </c>
      <c r="EU6" s="48">
        <f>VLOOKUP(BP6,Fundamentus!A:U,14,FALSE)</f>
        <v>0.17369999999999999</v>
      </c>
      <c r="EV6" s="30" t="str">
        <f>IF(VLOOKUP(BP6,Fundamentus!A:U,21,FALSE)&lt;0,"Negativo",IF(VLOOKUP(BP6,Fundamentus!A:U,21,FALSE)&lt;0.05,"Fraco",IF(VLOOKUP(BP6,Fundamentus!A:U,21,FALSE)&lt;0.1,"Bom",IF(VLOOKUP(BP6,Fundamentus!A:U,21,FALSE)&gt;0.1,"Muito bom","n/a"))))</f>
        <v>Muito bom</v>
      </c>
      <c r="EX6" s="31" t="str">
        <f>IF(VLOOKUP(BP6,Fundamentus!A:U,15,FALSE)&gt;1,"Bom",IF(VLOOKUP(BP6,Fundamentus!A:U,15,FALSE)&lt;1,"Ruim","n/a"))</f>
        <v>Bom</v>
      </c>
      <c r="EY6" s="30" t="str">
        <f>IF(VLOOKUP(BP6,Fundamentus!A:U,20,FALSE)&lt;0.5,"Baixa",IF(VLOOKUP(BP6,Fundamentus!A:U,20,FALSE)&lt;1,"Moderada",IF(VLOOKUP(BP6,Fundamentus!A:U,20,FALSE)&lt;2,"Alerta",IF(VLOOKUP(BP6,Fundamentus!A:U,20,FALSE)&gt;2,"Alta","n/a"))))</f>
        <v>Alerta</v>
      </c>
    </row>
    <row r="7" spans="1:155" s="2" customFormat="1" ht="11.25" x14ac:dyDescent="0.2">
      <c r="A7" s="4">
        <v>27.58</v>
      </c>
      <c r="B7" s="4">
        <v>25.55</v>
      </c>
      <c r="C7" s="4">
        <v>25.2</v>
      </c>
      <c r="D7" s="4">
        <v>25.73</v>
      </c>
      <c r="E7" s="4">
        <v>25.53</v>
      </c>
      <c r="F7" s="4">
        <v>25.2</v>
      </c>
      <c r="G7" s="4">
        <v>25.21</v>
      </c>
      <c r="H7" s="4">
        <v>26.85</v>
      </c>
      <c r="I7" s="4">
        <v>25.25</v>
      </c>
      <c r="J7" s="4">
        <v>25.59</v>
      </c>
      <c r="K7" s="4">
        <v>26.01</v>
      </c>
      <c r="L7" s="4">
        <v>25.6</v>
      </c>
      <c r="M7" s="4">
        <v>25.43</v>
      </c>
      <c r="N7" s="4">
        <v>25.01</v>
      </c>
      <c r="O7" s="4">
        <v>25.02</v>
      </c>
      <c r="P7" s="4">
        <v>25.85</v>
      </c>
      <c r="Q7" s="4">
        <v>25.85</v>
      </c>
      <c r="R7" s="4">
        <v>25.29</v>
      </c>
      <c r="S7" s="4">
        <v>24.81</v>
      </c>
      <c r="T7" s="4">
        <v>24.89</v>
      </c>
      <c r="U7" s="4">
        <v>24.86</v>
      </c>
      <c r="V7" s="4">
        <v>25.13</v>
      </c>
      <c r="W7" s="4">
        <v>25.02</v>
      </c>
      <c r="X7" s="4">
        <v>25.4</v>
      </c>
      <c r="Y7" s="4">
        <v>24.94</v>
      </c>
      <c r="Z7" s="4">
        <v>25.01</v>
      </c>
      <c r="AA7" s="4">
        <v>24.84</v>
      </c>
      <c r="AB7" s="4">
        <v>24.1</v>
      </c>
      <c r="AC7" s="4">
        <v>25.45</v>
      </c>
      <c r="AD7" s="4">
        <v>25.13</v>
      </c>
      <c r="AE7" s="4">
        <v>24.8</v>
      </c>
      <c r="AF7" s="4">
        <v>25.96</v>
      </c>
      <c r="AG7" s="4">
        <v>26.15</v>
      </c>
      <c r="AH7" s="4">
        <v>25.5</v>
      </c>
      <c r="AI7" s="4">
        <v>26.59</v>
      </c>
      <c r="AJ7" s="4">
        <v>25.4</v>
      </c>
      <c r="AK7" s="4">
        <v>27.97</v>
      </c>
      <c r="AL7" s="4">
        <v>28</v>
      </c>
      <c r="AM7" s="4">
        <v>26.13</v>
      </c>
      <c r="AN7" s="4">
        <v>26.17</v>
      </c>
      <c r="AO7" s="4">
        <v>25.74</v>
      </c>
      <c r="AP7" s="4">
        <v>25.94</v>
      </c>
      <c r="AQ7" s="4">
        <v>25.94</v>
      </c>
      <c r="AR7" s="4">
        <v>25.69</v>
      </c>
      <c r="AS7" s="4">
        <v>25.4</v>
      </c>
      <c r="AT7" s="4">
        <v>26.07</v>
      </c>
      <c r="AU7" s="4">
        <v>27.45</v>
      </c>
      <c r="AV7" s="4">
        <v>27</v>
      </c>
      <c r="AW7" s="4">
        <v>27.33</v>
      </c>
      <c r="AX7" s="4">
        <v>26.4</v>
      </c>
      <c r="AY7" s="12">
        <v>26.81</v>
      </c>
      <c r="AZ7" s="12">
        <v>26.65</v>
      </c>
      <c r="BA7" s="12">
        <v>27.82</v>
      </c>
      <c r="BB7" s="15">
        <v>26.4</v>
      </c>
      <c r="BC7" s="52">
        <v>26.68</v>
      </c>
      <c r="BD7" s="52">
        <v>26.99</v>
      </c>
      <c r="BE7" s="52">
        <v>27.58</v>
      </c>
      <c r="BF7" s="52">
        <v>27.49</v>
      </c>
      <c r="BG7" s="67">
        <v>29.05</v>
      </c>
      <c r="BH7" s="52">
        <v>28.76</v>
      </c>
      <c r="BI7" s="52">
        <v>28.38</v>
      </c>
      <c r="BJ7" s="52">
        <v>29.05</v>
      </c>
      <c r="BK7" s="52">
        <v>28.7</v>
      </c>
      <c r="BL7" s="52">
        <v>27.52</v>
      </c>
      <c r="BM7" s="52">
        <v>27.24</v>
      </c>
      <c r="BN7" s="52">
        <v>26.87</v>
      </c>
      <c r="BO7" s="52" cm="1">
        <f t="array" aca="1" ref="BO7" ca="1">_FV(EC7,"Preço")</f>
        <v>26.87</v>
      </c>
      <c r="BP7" s="69" t="s">
        <v>4</v>
      </c>
      <c r="BQ7" s="36" cm="1">
        <f t="array" aca="1" ref="BQ7" ca="1">_FV(EC7,"Média de volume",TRUE)</f>
        <v>7150</v>
      </c>
      <c r="BR7" s="36">
        <v>1800</v>
      </c>
      <c r="BS7" s="36" cm="1">
        <f t="array" aca="1" ref="BS7" ca="1">_FV(EC7,"Volume")</f>
        <v>1800</v>
      </c>
      <c r="BT7" s="24" cm="1">
        <f t="array" aca="1" ref="BT7" ca="1">_FV(EC7,"Beta")</f>
        <v>0.59699999999999998</v>
      </c>
      <c r="BU7" s="71" cm="1">
        <f t="array" aca="1" ref="BU7" ca="1">_FV(EC7,"Variação (%)",TRUE)</f>
        <v>3.7359999999999997E-3</v>
      </c>
      <c r="BW7" s="17" cm="1">
        <f t="array" aca="1" ref="BW7" ca="1">_FV(EC7,"Baixo")</f>
        <v>26.86</v>
      </c>
      <c r="BX7" s="17" cm="1">
        <f t="array" aca="1" ref="BX7" ca="1">_FV(EC7,"Alto")</f>
        <v>27.17</v>
      </c>
      <c r="BY7" s="24"/>
      <c r="BZ7" s="63">
        <f ca="1">SQRT(22.5*(BO7/VLOOKUP(BP7,Fundamentus!A:U,3,FALSE))*(BO7/VLOOKUP(BP7,Fundamentus!A:U,4,FALSE)))</f>
        <v>70.034778821419991</v>
      </c>
      <c r="CB7" s="62">
        <f t="shared" ref="CB7:CB70" ca="1" si="24">(BO7 - BN7) / BN7</f>
        <v>0</v>
      </c>
      <c r="CC7" s="8"/>
      <c r="CD7" s="61">
        <f t="shared" ref="CD7:CD70" si="25">MIN(A7:BN7)</f>
        <v>24.1</v>
      </c>
      <c r="CE7" s="61">
        <f t="shared" ref="CE7:CE70" si="26">MAX(A7:BN7)</f>
        <v>29.05</v>
      </c>
      <c r="CF7" s="61">
        <f t="shared" ref="CF7:CF70" si="27">AVERAGE(A7:BN7)</f>
        <v>26.196212121212127</v>
      </c>
      <c r="CG7" s="14"/>
      <c r="CH7" s="35">
        <f t="shared" si="1"/>
        <v>24.442821164402851</v>
      </c>
      <c r="CI7" s="15">
        <f t="shared" ref="CI7:CI70" si="28">FORECAST("08/08/2025", BK7:BN7, $BK$5:$BN$5)</f>
        <v>26.140000000000327</v>
      </c>
      <c r="CJ7" s="35">
        <f t="shared" si="2"/>
        <v>27.837178835597804</v>
      </c>
      <c r="CL7" s="14"/>
      <c r="CM7" s="17">
        <f t="shared" si="3"/>
        <v>19.346666666666671</v>
      </c>
      <c r="CN7" s="17">
        <f t="shared" si="4"/>
        <v>21.723333333333336</v>
      </c>
      <c r="CO7" s="17">
        <f t="shared" si="5"/>
        <v>24.29666666666667</v>
      </c>
      <c r="CP7" s="38">
        <f t="shared" ref="CP7:CP70" si="29">(CE7+CD7+BN7)/3</f>
        <v>26.673333333333336</v>
      </c>
      <c r="CQ7" s="17">
        <f t="shared" si="6"/>
        <v>29.24666666666667</v>
      </c>
      <c r="CR7" s="17">
        <f t="shared" si="7"/>
        <v>31.623333333333335</v>
      </c>
      <c r="CS7" s="17">
        <f t="shared" si="8"/>
        <v>34.196666666666673</v>
      </c>
      <c r="CT7" s="2" cm="1">
        <f t="array" aca="1" ref="CT7" ca="1">MAX(_xlfn._xlws.FILTER(CM7:CS7,CM7:CS7&lt;BO7))</f>
        <v>26.673333333333336</v>
      </c>
      <c r="CU7" s="2" cm="1">
        <f t="array" aca="1" ref="CU7" ca="1">MIN(_xlfn._xlws.FILTER($CM7:$CS7,$CM7:$CS7&gt;BO7))</f>
        <v>29.24666666666667</v>
      </c>
      <c r="CV7" s="16">
        <f t="shared" ref="CV7:CV13" ca="1" si="30">(CU7/CT7)-1</f>
        <v>9.6475881029742583E-2</v>
      </c>
      <c r="CW7" s="20">
        <f t="shared" ref="CW7:CW13" ca="1" si="31">-$CV7/2</f>
        <v>-4.8237940514871291E-2</v>
      </c>
      <c r="CX7" s="20">
        <f t="shared" ref="CX7:CX13" ca="1" si="32">-$CV7/3</f>
        <v>-3.2158627009914197E-2</v>
      </c>
      <c r="CY7" s="20">
        <f t="shared" ref="CY7:CY13" ca="1" si="33">-$CV7/5</f>
        <v>-1.9295176205948516E-2</v>
      </c>
      <c r="CZ7" s="20">
        <f t="shared" ref="CZ7:CZ13" ca="1" si="34">-$CV7/9</f>
        <v>-1.0719542336638065E-2</v>
      </c>
      <c r="DA7" s="20">
        <f t="shared" ca="1" si="9"/>
        <v>-5.6750518252789758E-3</v>
      </c>
      <c r="DB7" s="20">
        <f t="shared" ca="1" si="10"/>
        <v>-2.9235115463558357E-3</v>
      </c>
      <c r="DC7" s="20">
        <f t="shared" ca="1" si="11"/>
        <v>-1.4842443235345013E-3</v>
      </c>
      <c r="DD7" s="21">
        <f t="shared" ca="1" si="12"/>
        <v>1.4842443235345013E-3</v>
      </c>
      <c r="DE7" s="21">
        <f t="shared" ca="1" si="13"/>
        <v>2.9235115463558357E-3</v>
      </c>
      <c r="DF7" s="21">
        <f t="shared" ca="1" si="14"/>
        <v>5.6750518252789758E-3</v>
      </c>
      <c r="DG7" s="21">
        <f t="shared" ref="DG7:DG13" ca="1" si="35">-$CV7/9*-1</f>
        <v>1.0719542336638065E-2</v>
      </c>
      <c r="DH7" s="21">
        <f t="shared" ref="DH7:DH13" ca="1" si="36">-$CV7/5*-1</f>
        <v>1.9295176205948516E-2</v>
      </c>
      <c r="DI7" s="21">
        <f t="shared" ref="DI7:DI13" ca="1" si="37">-$CV7/3*-1</f>
        <v>3.2158627009914197E-2</v>
      </c>
      <c r="DJ7" s="21">
        <f t="shared" ref="DJ7:DJ13" ca="1" si="38">-$CV7/2*-1</f>
        <v>4.8237940514871291E-2</v>
      </c>
      <c r="DL7" s="16" cm="1">
        <f t="array" aca="1" ref="DL7" ca="1">MAX(_xlfn._xlws.FILTER(CW7:DJ7,CW7:DJ7&lt;BU7))</f>
        <v>2.9235115463558357E-3</v>
      </c>
      <c r="DM7" s="16" cm="1">
        <f t="array" aca="1" ref="DM7" ca="1">MIN(_xlfn._xlws.FILTER(CW7:DJ7,CW7:DJ7&gt;BU7))</f>
        <v>5.6750518252789758E-3</v>
      </c>
      <c r="DN7" s="2" cm="1">
        <f t="array" aca="1" ref="DN7" ca="1">_FV(EC7,"Fechamento anterior",TRUE)</f>
        <v>26.77</v>
      </c>
      <c r="DO7" s="28">
        <f t="shared" ca="1" si="15"/>
        <v>0.29511226897330756</v>
      </c>
      <c r="DP7" s="15">
        <f t="shared" ca="1" si="16"/>
        <v>26.848262404095944</v>
      </c>
      <c r="DQ7" s="15">
        <f t="shared" ca="1" si="17"/>
        <v>26.921921137362716</v>
      </c>
      <c r="DR7" s="9"/>
      <c r="DS7" s="9"/>
      <c r="DT7" s="9"/>
      <c r="DU7" s="89">
        <v>9.2227593901078424E-3</v>
      </c>
      <c r="DV7" s="89">
        <f t="shared" ca="1" si="18"/>
        <v>2.75154027892314E-3</v>
      </c>
      <c r="DW7" s="72">
        <f t="shared" ca="1" si="19"/>
        <v>0.43012556171941868</v>
      </c>
      <c r="DX7" s="37"/>
      <c r="DY7" s="35">
        <f t="shared" ref="DY7:DY70" si="39">_xlfn.STDEV.P(BJ7:BN7)</f>
        <v>0.84858941779873753</v>
      </c>
      <c r="DZ7" s="56"/>
      <c r="EA7" s="56"/>
      <c r="EC7" s="2" t="e" vm="7">
        <v>#VALUE!</v>
      </c>
      <c r="EE7" s="10" cm="1">
        <f t="array" aca="1" ref="EE7" ca="1">_FV(EC7,"Ações em circulação",TRUE)</f>
        <v>20585620</v>
      </c>
      <c r="EF7" s="18">
        <f>VLOOKUP(BP7,Fundamentus!A:U,5,FALSE)</f>
        <v>0.77600000000000002</v>
      </c>
      <c r="EG7" s="2">
        <f t="shared" ca="1" si="20"/>
        <v>712803620.3608247</v>
      </c>
      <c r="EH7" s="17">
        <v>100291469.38476802</v>
      </c>
      <c r="EI7" s="17">
        <f t="shared" ca="1" si="21"/>
        <v>100291469.38476802</v>
      </c>
      <c r="EK7" s="16">
        <f t="shared" ca="1" si="22"/>
        <v>0</v>
      </c>
      <c r="EL7" s="32" t="str">
        <f>IF(VLOOKUP(BP7,Fundamentus!A:U,3,FALSE)&lt;15,"Bom",IF(VLOOKUP(BP7,Fundamentus!A:U,3,FALSE)&gt;15,"Ruim","n/a"))</f>
        <v>Bom</v>
      </c>
      <c r="EM7" s="28" t="str">
        <f>IF(VLOOKUP(BP7,Fundamentus!A:U,4,FALSE)&lt;1,"Baixo",IF(VLOOKUP(BP7,Fundamentus!A:U,4,FALSE)&lt;1.5,"Moderado",IF(VLOOKUP(BP7,Fundamentus!A:U,4,FALSE)&gt;1.5,"Alto","n/a")))</f>
        <v>Baixo</v>
      </c>
      <c r="EN7" s="17" t="str">
        <f>IF(VLOOKUP(BP7,Fundamentus!A:U,8,FALSE)&lt;0,"Risco elevado",IF(VLOOKUP(BP7,Fundamentus!A:U,8,FALSE)&lt;1,"Saudável",IF(VLOOKUP(BP7,Fundamentus!A:U,8,FALSE)&lt;3,"Estável",IF(VLOOKUP(BP7,Fundamentus!A:U,8,FALSE)&gt;3,"Alerta","n/a"))))</f>
        <v>Estável</v>
      </c>
      <c r="EO7" s="28" t="str">
        <f t="shared" si="23"/>
        <v>Ruim</v>
      </c>
      <c r="EP7" s="17" t="str">
        <f>IF(VLOOKUP(BP7,Fundamentus!A:U,12,FALSE)&lt;2,"Subvalorizada",IF(VLOOKUP(BP7,Fundamentus!A:U,12,FALSE)&lt;6,"Muita barata",IF(VLOOKUP(BP7,Fundamentus!A:U,12,FALSE)&lt;6,"Barata",IF(VLOOKUP(BP7,Fundamentus!A:U,12,FALSE)&lt;8,"Atrativa",IF(VLOOKUP(BP7,Fundamentus!A:U,12,FALSE)&gt;8,"Supervalorizada","n/a")))))</f>
        <v>Muita barata</v>
      </c>
      <c r="ER7" s="17" t="str">
        <f>IF(VLOOKUP(BP7,Fundamentus!A:U,17,FALSE)&lt;0.1,"Fraco retorno",IF(VLOOKUP(BP7,Fundamentus!A:U,17,FALSE)&gt;0.1,"Bom retorno","n/a"))</f>
        <v>Bom retorno</v>
      </c>
      <c r="ES7" s="17" t="str">
        <f>IF(VLOOKUP(BP7,Fundamentus!A:U,16,FALSE)&lt;0.1,"Ineficiente",IF(VLOOKUP(BP7,Fundamentus!A:U,16,FALSE)&gt;0.1,"Eficiente","n/a"))</f>
        <v>Ineficiente</v>
      </c>
      <c r="ET7" s="33" t="str">
        <f>IF(VLOOKUP(BP7,Fundamentus!A:U,16,FALSE)&lt;0.1,"Oper. Ineficiente",IF(VLOOKUP(BP7,Fundamentus!A:U,16,FALSE)&gt;0.1,"Oper.Eficiente","n/a"))</f>
        <v>Oper. Ineficiente</v>
      </c>
      <c r="EU7" s="34">
        <f>VLOOKUP(BP7,Fundamentus!A:U,14,FALSE)</f>
        <v>0.14069999999999999</v>
      </c>
      <c r="EV7" s="17" t="str">
        <f>IF(VLOOKUP(BP7,Fundamentus!A:U,21,FALSE)&lt;0,"Negativo",IF(VLOOKUP(BP7,Fundamentus!A:U,21,FALSE)&lt;0.05,"Fraco",IF(VLOOKUP(BP7,Fundamentus!A:U,21,FALSE)&lt;0.1,"Bom",IF(VLOOKUP(BP7,Fundamentus!A:U,21,FALSE)&gt;0.1,"Muito bom","n/a"))))</f>
        <v>Muito bom</v>
      </c>
      <c r="EX7" s="29" t="str">
        <f>IF(VLOOKUP(BP7,Fundamentus!A:U,15,FALSE)&gt;1,"Bom",IF(VLOOKUP(BP7,Fundamentus!A:U,15,FALSE)&lt;1,"Ruim","n/a"))</f>
        <v>Bom</v>
      </c>
      <c r="EY7" s="17" t="str">
        <f>IF(VLOOKUP(BP7,Fundamentus!A:U,20,FALSE)&lt;0.5,"Baixa",IF(VLOOKUP(BP7,Fundamentus!A:U,20,FALSE)&lt;1,"Moderada",IF(VLOOKUP(BP7,Fundamentus!A:U,20,FALSE)&lt;2,"Alerta",IF(VLOOKUP(BP7,Fundamentus!A:U,20,FALSE)&gt;2,"Alta","n/a"))))</f>
        <v>Baixa</v>
      </c>
    </row>
    <row r="8" spans="1:155" s="2" customFormat="1" ht="11.25" x14ac:dyDescent="0.2">
      <c r="A8" s="4">
        <v>26.09</v>
      </c>
      <c r="B8" s="4">
        <v>25.3</v>
      </c>
      <c r="C8" s="4">
        <v>26.19</v>
      </c>
      <c r="D8" s="4">
        <v>27.09</v>
      </c>
      <c r="E8" s="4">
        <v>25.4</v>
      </c>
      <c r="F8" s="4">
        <v>25.01</v>
      </c>
      <c r="G8" s="4">
        <v>25.25</v>
      </c>
      <c r="H8" s="4">
        <v>26.47</v>
      </c>
      <c r="I8" s="4">
        <v>26.1</v>
      </c>
      <c r="J8" s="4">
        <v>26.98</v>
      </c>
      <c r="K8" s="4">
        <v>25.95</v>
      </c>
      <c r="L8" s="4">
        <v>24.55</v>
      </c>
      <c r="M8" s="4">
        <v>24.68</v>
      </c>
      <c r="N8" s="4">
        <v>24.56</v>
      </c>
      <c r="O8" s="4">
        <v>24.43</v>
      </c>
      <c r="P8" s="4">
        <v>24.63</v>
      </c>
      <c r="Q8" s="4">
        <v>25.17</v>
      </c>
      <c r="R8" s="4">
        <v>24.71</v>
      </c>
      <c r="S8" s="4">
        <v>24.85</v>
      </c>
      <c r="T8" s="4">
        <v>24.7</v>
      </c>
      <c r="U8" s="4">
        <v>24.44</v>
      </c>
      <c r="V8" s="4">
        <v>24.22</v>
      </c>
      <c r="W8" s="4">
        <v>24.13</v>
      </c>
      <c r="X8" s="4">
        <v>24.71</v>
      </c>
      <c r="Y8" s="4">
        <v>24.34</v>
      </c>
      <c r="Z8" s="4">
        <v>24.43</v>
      </c>
      <c r="AA8" s="4">
        <v>24.1</v>
      </c>
      <c r="AB8" s="4">
        <v>24.37</v>
      </c>
      <c r="AC8" s="4">
        <v>24.2</v>
      </c>
      <c r="AD8" s="4">
        <v>24.37</v>
      </c>
      <c r="AE8" s="4">
        <v>24.16</v>
      </c>
      <c r="AF8" s="4">
        <v>24.53</v>
      </c>
      <c r="AG8" s="4">
        <v>24.19</v>
      </c>
      <c r="AH8" s="4">
        <v>23.13</v>
      </c>
      <c r="AI8" s="4">
        <v>23.05</v>
      </c>
      <c r="AJ8" s="4">
        <v>22.55</v>
      </c>
      <c r="AK8" s="4">
        <v>22.61</v>
      </c>
      <c r="AL8" s="4">
        <v>22.95</v>
      </c>
      <c r="AM8" s="4">
        <v>22.94</v>
      </c>
      <c r="AN8" s="4">
        <v>23.8</v>
      </c>
      <c r="AO8" s="4">
        <v>23.9</v>
      </c>
      <c r="AP8" s="4">
        <v>23.78</v>
      </c>
      <c r="AQ8" s="4">
        <v>23.66</v>
      </c>
      <c r="AR8" s="4">
        <v>23.2</v>
      </c>
      <c r="AS8" s="4">
        <v>23.55</v>
      </c>
      <c r="AT8" s="4">
        <v>22.85</v>
      </c>
      <c r="AU8" s="4">
        <v>23.13</v>
      </c>
      <c r="AV8" s="4">
        <v>22.44</v>
      </c>
      <c r="AW8" s="4">
        <v>22.1</v>
      </c>
      <c r="AX8" s="4">
        <v>22.17</v>
      </c>
      <c r="AY8" s="12">
        <v>22.39</v>
      </c>
      <c r="AZ8" s="12">
        <v>23.28</v>
      </c>
      <c r="BA8" s="12">
        <v>23.99</v>
      </c>
      <c r="BB8" s="15">
        <v>22.87</v>
      </c>
      <c r="BC8" s="52">
        <v>23.42</v>
      </c>
      <c r="BD8" s="52">
        <v>23.5</v>
      </c>
      <c r="BE8" s="52">
        <v>23.4</v>
      </c>
      <c r="BF8" s="52">
        <v>23.14</v>
      </c>
      <c r="BG8" s="67">
        <v>23.12</v>
      </c>
      <c r="BH8" s="52">
        <v>23.03</v>
      </c>
      <c r="BI8" s="52">
        <v>22.79</v>
      </c>
      <c r="BJ8" s="52">
        <v>23.31</v>
      </c>
      <c r="BK8" s="52">
        <v>22.8</v>
      </c>
      <c r="BL8" s="52">
        <v>22.44</v>
      </c>
      <c r="BM8" s="52">
        <v>22.37</v>
      </c>
      <c r="BN8" s="52">
        <v>21.6</v>
      </c>
      <c r="BO8" s="52" cm="1">
        <f t="array" aca="1" ref="BO8" ca="1">_FV(EC8,"Preço")</f>
        <v>21.6</v>
      </c>
      <c r="BP8" s="69" t="s">
        <v>5</v>
      </c>
      <c r="BQ8" s="36" cm="1">
        <f t="array" aca="1" ref="BQ8" ca="1">_FV(EC8,"Média de volume",TRUE)</f>
        <v>1871570</v>
      </c>
      <c r="BR8" s="36">
        <v>2369800</v>
      </c>
      <c r="BS8" s="36" cm="1">
        <f t="array" aca="1" ref="BS8" ca="1">_FV(EC8,"Volume")</f>
        <v>2369800</v>
      </c>
      <c r="BT8" s="24" cm="1">
        <f t="array" aca="1" ref="BT8" ca="1">_FV(EC8,"Beta")</f>
        <v>0.7046</v>
      </c>
      <c r="BU8" s="71" cm="1">
        <f t="array" aca="1" ref="BU8" ca="1">_FV(EC8,"Variação (%)",TRUE)</f>
        <v>-3.2300000000000002E-3</v>
      </c>
      <c r="BW8" s="17" cm="1">
        <f t="array" aca="1" ref="BW8" ca="1">_FV(EC8,"Baixo")</f>
        <v>21.6</v>
      </c>
      <c r="BX8" s="17" cm="1">
        <f t="array" aca="1" ref="BX8" ca="1">_FV(EC8,"Alto")</f>
        <v>21.9</v>
      </c>
      <c r="BY8" s="24"/>
      <c r="BZ8" s="63">
        <f ca="1">SQRT(22.5*(BO8/VLOOKUP(BP8,Fundamentus!A:U,3,FALSE))*(BO8/VLOOKUP(BP8,Fundamentus!A:U,4,FALSE)))</f>
        <v>59.344242605620835</v>
      </c>
      <c r="CB8" s="62">
        <f t="shared" ca="1" si="24"/>
        <v>0</v>
      </c>
      <c r="CC8" s="8"/>
      <c r="CD8" s="61">
        <f t="shared" si="25"/>
        <v>21.6</v>
      </c>
      <c r="CE8" s="61">
        <f t="shared" si="26"/>
        <v>27.09</v>
      </c>
      <c r="CF8" s="61">
        <f t="shared" si="27"/>
        <v>23.993333333333336</v>
      </c>
      <c r="CG8" s="14"/>
      <c r="CH8" s="35">
        <f t="shared" si="1"/>
        <v>20.261961265137963</v>
      </c>
      <c r="CI8" s="15">
        <f t="shared" si="28"/>
        <v>21.384999999999764</v>
      </c>
      <c r="CJ8" s="35">
        <f t="shared" si="2"/>
        <v>22.508038734861564</v>
      </c>
      <c r="CL8" s="14"/>
      <c r="CM8" s="17">
        <f t="shared" si="3"/>
        <v>14.279999999999994</v>
      </c>
      <c r="CN8" s="17">
        <f t="shared" si="4"/>
        <v>17.939999999999998</v>
      </c>
      <c r="CO8" s="17">
        <f t="shared" si="5"/>
        <v>19.769999999999992</v>
      </c>
      <c r="CP8" s="38">
        <f t="shared" si="29"/>
        <v>23.429999999999996</v>
      </c>
      <c r="CQ8" s="17">
        <f t="shared" si="6"/>
        <v>25.259999999999991</v>
      </c>
      <c r="CR8" s="17">
        <f t="shared" si="7"/>
        <v>28.919999999999995</v>
      </c>
      <c r="CS8" s="17">
        <f t="shared" si="8"/>
        <v>30.749999999999989</v>
      </c>
      <c r="CT8" s="2" cm="1">
        <f t="array" aca="1" ref="CT8" ca="1">MAX(_xlfn._xlws.FILTER(CM8:CS8,CM8:CS8&lt;BO8))</f>
        <v>19.769999999999992</v>
      </c>
      <c r="CU8" s="2" cm="1">
        <f t="array" aca="1" ref="CU8" ca="1">MIN(_xlfn._xlws.FILTER($CM8:$CS8,$CM8:$CS8&gt;BO8))</f>
        <v>23.429999999999996</v>
      </c>
      <c r="CV8" s="16">
        <f t="shared" ca="1" si="30"/>
        <v>0.18512898330804273</v>
      </c>
      <c r="CW8" s="20">
        <f t="shared" ca="1" si="31"/>
        <v>-9.2564491654021364E-2</v>
      </c>
      <c r="CX8" s="20">
        <f t="shared" ca="1" si="32"/>
        <v>-6.1709661102680911E-2</v>
      </c>
      <c r="CY8" s="20">
        <f t="shared" ca="1" si="33"/>
        <v>-3.7025796661608545E-2</v>
      </c>
      <c r="CZ8" s="20">
        <f t="shared" ca="1" si="34"/>
        <v>-2.056988703422697E-2</v>
      </c>
      <c r="DA8" s="20">
        <f ca="1">-$CV8/17</f>
        <v>-1.0889940194590749E-2</v>
      </c>
      <c r="DB8" s="20">
        <f ca="1">-$CV8/33</f>
        <v>-5.60996919115281E-3</v>
      </c>
      <c r="DC8" s="20">
        <f ca="1">-$CV8/65</f>
        <v>-2.8481382047391189E-3</v>
      </c>
      <c r="DD8" s="21">
        <f ca="1">-$CV8/65*-1</f>
        <v>2.8481382047391189E-3</v>
      </c>
      <c r="DE8" s="21">
        <f ca="1">-$CV8/33*-1</f>
        <v>5.60996919115281E-3</v>
      </c>
      <c r="DF8" s="21">
        <f ca="1">-$CV8/17*-1</f>
        <v>1.0889940194590749E-2</v>
      </c>
      <c r="DG8" s="21">
        <f t="shared" ca="1" si="35"/>
        <v>2.056988703422697E-2</v>
      </c>
      <c r="DH8" s="21">
        <f t="shared" ca="1" si="36"/>
        <v>3.7025796661608545E-2</v>
      </c>
      <c r="DI8" s="21">
        <f t="shared" ca="1" si="37"/>
        <v>6.1709661102680911E-2</v>
      </c>
      <c r="DJ8" s="21">
        <f t="shared" ca="1" si="38"/>
        <v>9.2564491654021364E-2</v>
      </c>
      <c r="DL8" s="16" cm="1">
        <f t="array" aca="1" ref="DL8" ca="1">MAX(_xlfn._xlws.FILTER(CW8:DJ8,CW8:DJ8&lt;BU8))</f>
        <v>-5.60996919115281E-3</v>
      </c>
      <c r="DM8" s="16" cm="1">
        <f t="array" aca="1" ref="DM8" ca="1">MIN(_xlfn._xlws.FILTER(CW8:DJ8,CW8:DJ8&gt;BU8))</f>
        <v>-2.8481382047391189E-3</v>
      </c>
      <c r="DN8" s="2" cm="1">
        <f t="array" aca="1" ref="DN8" ca="1">_FV(EC8,"Fechamento anterior",TRUE)</f>
        <v>21.67</v>
      </c>
      <c r="DO8" s="28">
        <f t="shared" ca="1" si="15"/>
        <v>0.86163741990512577</v>
      </c>
      <c r="DP8" s="15">
        <f t="shared" ca="1" si="16"/>
        <v>21.548431967627721</v>
      </c>
      <c r="DQ8" s="15">
        <f t="shared" ca="1" si="17"/>
        <v>21.608280845103305</v>
      </c>
      <c r="DR8" s="9"/>
      <c r="DS8" s="9"/>
      <c r="DT8" s="9"/>
      <c r="DU8" s="89">
        <v>4.7848908632906056E-3</v>
      </c>
      <c r="DV8" s="89">
        <f t="shared" ca="1" si="18"/>
        <v>2.761830986413691E-3</v>
      </c>
      <c r="DW8" s="72">
        <f t="shared" ca="1" si="19"/>
        <v>0.19144486590366394</v>
      </c>
      <c r="DX8" s="37"/>
      <c r="DY8" s="35">
        <f t="shared" si="39"/>
        <v>0.56151936743090081</v>
      </c>
      <c r="DZ8" s="56"/>
      <c r="EA8" s="56"/>
      <c r="EC8" s="2" t="e" vm="8">
        <v>#VALUE!</v>
      </c>
      <c r="EE8" s="10" cm="1">
        <f t="array" aca="1" ref="EE8" ca="1">_FV(EC8,"Ações em circulação",TRUE)</f>
        <v>658883300</v>
      </c>
      <c r="EF8" s="18">
        <f>VLOOKUP(BP8,Fundamentus!A:U,5,FALSE)</f>
        <v>1.76</v>
      </c>
      <c r="EG8" s="2">
        <f t="shared" ca="1" si="20"/>
        <v>8086295045.454545</v>
      </c>
      <c r="EH8" s="17">
        <v>3486001794.0954542</v>
      </c>
      <c r="EI8" s="17">
        <f t="shared" ca="1" si="21"/>
        <v>3486001794.0954542</v>
      </c>
      <c r="EK8" s="16">
        <f t="shared" ca="1" si="22"/>
        <v>0</v>
      </c>
      <c r="EL8" s="32" t="str">
        <f>IF(VLOOKUP(BP8,Fundamentus!A:U,3,FALSE)&lt;15,"Bom",IF(VLOOKUP(BP8,Fundamentus!A:U,3,FALSE)&gt;15,"Ruim","n/a"))</f>
        <v>Bom</v>
      </c>
      <c r="EM8" s="28" t="str">
        <f>IF(VLOOKUP(BP8,Fundamentus!A:U,4,FALSE)&lt;1,"Baixo",IF(VLOOKUP(BP8,Fundamentus!A:U,4,FALSE)&lt;1.5,"Moderado",IF(VLOOKUP(BP8,Fundamentus!A:U,4,FALSE)&gt;1.5,"Alto","n/a")))</f>
        <v>Baixo</v>
      </c>
      <c r="EN8" s="17" t="str">
        <f>IF(VLOOKUP(BP8,Fundamentus!A:U,8,FALSE)&lt;0,"Risco elevado",IF(VLOOKUP(BP8,Fundamentus!A:U,8,FALSE)&lt;1,"Saudável",IF(VLOOKUP(BP8,Fundamentus!A:U,8,FALSE)&lt;3,"Estável",IF(VLOOKUP(BP8,Fundamentus!A:U,8,FALSE)&gt;3,"Alerta","n/a"))))</f>
        <v>Estável</v>
      </c>
      <c r="EO8" s="28" t="str">
        <f t="shared" si="23"/>
        <v>Bom</v>
      </c>
      <c r="EP8" s="17" t="str">
        <f>IF(VLOOKUP(BP8,Fundamentus!A:U,12,FALSE)&lt;2,"Subvalorizada",IF(VLOOKUP(BP8,Fundamentus!A:U,12,FALSE)&lt;6,"Muita barata",IF(VLOOKUP(BP8,Fundamentus!A:U,12,FALSE)&lt;6,"Barata",IF(VLOOKUP(BP8,Fundamentus!A:U,12,FALSE)&lt;8,"Atrativa",IF(VLOOKUP(BP8,Fundamentus!A:U,12,FALSE)&gt;8,"Supervalorizada","n/a")))))</f>
        <v>Muita barata</v>
      </c>
      <c r="ER8" s="17" t="str">
        <f>IF(VLOOKUP(BP8,Fundamentus!A:U,17,FALSE)&lt;0.1,"Fraco retorno",IF(VLOOKUP(BP8,Fundamentus!A:U,17,FALSE)&gt;0.1,"Bom retorno","n/a"))</f>
        <v>Bom retorno</v>
      </c>
      <c r="ES8" s="17" t="str">
        <f>IF(VLOOKUP(BP8,Fundamentus!A:U,16,FALSE)&lt;0.1,"Ineficiente",IF(VLOOKUP(BP8,Fundamentus!A:U,16,FALSE)&gt;0.1,"Eficiente","n/a"))</f>
        <v>Eficiente</v>
      </c>
      <c r="ET8" s="33" t="str">
        <f>IF(VLOOKUP(BP8,Fundamentus!A:U,16,FALSE)&lt;0.1,"Oper. Ineficiente",IF(VLOOKUP(BP8,Fundamentus!A:U,16,FALSE)&gt;0.1,"Oper.Eficiente","n/a"))</f>
        <v>Oper.Eficiente</v>
      </c>
      <c r="EU8" s="34">
        <f>VLOOKUP(BP8,Fundamentus!A:U,14,FALSE)</f>
        <v>0.43109999999999998</v>
      </c>
      <c r="EV8" s="17" t="str">
        <f>IF(VLOOKUP(BP8,Fundamentus!A:U,21,FALSE)&lt;0,"Negativo",IF(VLOOKUP(BP8,Fundamentus!A:U,21,FALSE)&lt;0.05,"Fraco",IF(VLOOKUP(BP8,Fundamentus!A:U,21,FALSE)&lt;0.1,"Bom",IF(VLOOKUP(BP8,Fundamentus!A:U,21,FALSE)&gt;0.1,"Muito bom","n/a"))))</f>
        <v>Muito bom</v>
      </c>
      <c r="EX8" s="29" t="str">
        <f>IF(VLOOKUP(BP8,Fundamentus!A:U,15,FALSE)&gt;1,"Bom",IF(VLOOKUP(BP8,Fundamentus!A:U,15,FALSE)&lt;1,"Ruim","n/a"))</f>
        <v>Bom</v>
      </c>
      <c r="EY8" s="17" t="str">
        <f>IF(VLOOKUP(BP8,Fundamentus!A:U,20,FALSE)&lt;0.5,"Baixa",IF(VLOOKUP(BP8,Fundamentus!A:U,20,FALSE)&lt;1,"Moderada",IF(VLOOKUP(BP8,Fundamentus!A:U,20,FALSE)&lt;2,"Alerta",IF(VLOOKUP(BP8,Fundamentus!A:U,20,FALSE)&gt;2,"Alta","n/a"))))</f>
        <v>Moderada</v>
      </c>
    </row>
    <row r="9" spans="1:155" s="2" customFormat="1" ht="11.25" x14ac:dyDescent="0.2">
      <c r="A9" s="4">
        <v>9.1999999999999993</v>
      </c>
      <c r="B9" s="4">
        <v>8.98</v>
      </c>
      <c r="C9" s="4">
        <v>9.07</v>
      </c>
      <c r="D9" s="4">
        <v>9.0399999999999991</v>
      </c>
      <c r="E9" s="4">
        <v>9.01</v>
      </c>
      <c r="F9" s="4">
        <v>8.7899999999999991</v>
      </c>
      <c r="G9" s="4">
        <v>8.8000000000000007</v>
      </c>
      <c r="H9" s="4">
        <v>8.7200000000000006</v>
      </c>
      <c r="I9" s="4">
        <v>8.9700000000000006</v>
      </c>
      <c r="J9" s="4">
        <v>9.15</v>
      </c>
      <c r="K9" s="4">
        <v>9.07</v>
      </c>
      <c r="L9" s="4">
        <v>9.02</v>
      </c>
      <c r="M9" s="4">
        <v>8.93</v>
      </c>
      <c r="N9" s="4">
        <v>8.9499999999999993</v>
      </c>
      <c r="O9" s="4">
        <v>8.89</v>
      </c>
      <c r="P9" s="4">
        <v>9.0299999999999994</v>
      </c>
      <c r="Q9" s="4">
        <v>9.0399999999999991</v>
      </c>
      <c r="R9" s="4">
        <v>9.02</v>
      </c>
      <c r="S9" s="4">
        <v>9.0399999999999991</v>
      </c>
      <c r="T9" s="4">
        <v>8.99</v>
      </c>
      <c r="U9" s="4">
        <v>8.9</v>
      </c>
      <c r="V9" s="4">
        <v>8.9499999999999993</v>
      </c>
      <c r="W9" s="4">
        <v>8.98</v>
      </c>
      <c r="X9" s="4">
        <v>8.84</v>
      </c>
      <c r="Y9" s="4">
        <v>8.81</v>
      </c>
      <c r="Z9" s="4">
        <v>8.82</v>
      </c>
      <c r="AA9" s="4">
        <v>8.68</v>
      </c>
      <c r="AB9" s="4">
        <v>8.49</v>
      </c>
      <c r="AC9" s="4">
        <v>8.4499999999999993</v>
      </c>
      <c r="AD9" s="4">
        <v>8.32</v>
      </c>
      <c r="AE9" s="4">
        <v>8.57</v>
      </c>
      <c r="AF9" s="4">
        <v>8.24</v>
      </c>
      <c r="AG9" s="4">
        <v>8.1199999999999992</v>
      </c>
      <c r="AH9" s="4">
        <v>8.42</v>
      </c>
      <c r="AI9" s="4">
        <v>8.4499999999999993</v>
      </c>
      <c r="AJ9" s="4">
        <v>8.2100000000000009</v>
      </c>
      <c r="AK9" s="4">
        <v>8.3000000000000007</v>
      </c>
      <c r="AL9" s="4">
        <v>8.2899999999999991</v>
      </c>
      <c r="AM9" s="4">
        <v>8.2200000000000006</v>
      </c>
      <c r="AN9" s="4">
        <v>8.27</v>
      </c>
      <c r="AO9" s="4">
        <v>8.19</v>
      </c>
      <c r="AP9" s="4">
        <v>8.1999999999999993</v>
      </c>
      <c r="AQ9" s="4">
        <v>8.14</v>
      </c>
      <c r="AR9" s="4">
        <v>8.16</v>
      </c>
      <c r="AS9" s="4">
        <v>8.26</v>
      </c>
      <c r="AT9" s="4">
        <v>8.2200000000000006</v>
      </c>
      <c r="AU9" s="4">
        <v>8.1750000000000007</v>
      </c>
      <c r="AV9" s="4">
        <v>8.5500000000000007</v>
      </c>
      <c r="AW9" s="4">
        <v>8.4600000000000009</v>
      </c>
      <c r="AX9" s="4">
        <v>8.35</v>
      </c>
      <c r="AY9" s="12">
        <v>8.4600000000000009</v>
      </c>
      <c r="AZ9" s="12">
        <v>8.6199999999999992</v>
      </c>
      <c r="BA9" s="12">
        <v>8.83</v>
      </c>
      <c r="BB9" s="15">
        <v>8.73</v>
      </c>
      <c r="BC9" s="52">
        <v>8.52</v>
      </c>
      <c r="BD9" s="52">
        <v>8.77</v>
      </c>
      <c r="BE9" s="52">
        <v>8.64</v>
      </c>
      <c r="BF9" s="52">
        <v>8.56</v>
      </c>
      <c r="BG9" s="67">
        <v>8.58</v>
      </c>
      <c r="BH9" s="52">
        <v>8.42</v>
      </c>
      <c r="BI9" s="52">
        <v>8.49</v>
      </c>
      <c r="BJ9" s="52">
        <v>8.6300000000000008</v>
      </c>
      <c r="BK9" s="52">
        <v>8.5</v>
      </c>
      <c r="BL9" s="52">
        <v>8.49</v>
      </c>
      <c r="BM9" s="52">
        <v>8.39</v>
      </c>
      <c r="BN9" s="52">
        <v>8.3800000000000008</v>
      </c>
      <c r="BO9" s="52" cm="1">
        <f t="array" aca="1" ref="BO9" ca="1">_FV(EC9,"Preço")</f>
        <v>8.3800000000000008</v>
      </c>
      <c r="BP9" s="69" t="s">
        <v>6</v>
      </c>
      <c r="BQ9" s="36" cm="1">
        <f t="array" aca="1" ref="BQ9" ca="1">_FV(EC9,"Média de volume",TRUE)</f>
        <v>9450</v>
      </c>
      <c r="BR9" s="36">
        <v>14500</v>
      </c>
      <c r="BS9" s="36" cm="1">
        <f t="array" aca="1" ref="BS9" ca="1">_FV(EC9,"Volume")</f>
        <v>14500</v>
      </c>
      <c r="BT9" s="24" cm="1">
        <f t="array" aca="1" ref="BT9" ca="1">_FV(EC9,"Beta")</f>
        <v>0.43819999999999998</v>
      </c>
      <c r="BU9" s="71" cm="1">
        <f t="array" aca="1" ref="BU9" ca="1">_FV(EC9,"Variação (%)",TRUE)</f>
        <v>-3.5670000000000003E-3</v>
      </c>
      <c r="BW9" s="17" cm="1">
        <f t="array" aca="1" ref="BW9" ca="1">_FV(EC9,"Baixo")</f>
        <v>8.3699999999999992</v>
      </c>
      <c r="BX9" s="17" cm="1">
        <f t="array" aca="1" ref="BX9" ca="1">_FV(EC9,"Alto")</f>
        <v>8.49</v>
      </c>
      <c r="BY9" s="24"/>
      <c r="BZ9" s="63">
        <f ca="1">SQRT(22.5*(BO9/VLOOKUP(BP9,Fundamentus!A:U,3,FALSE))*(BO9/VLOOKUP(BP9,Fundamentus!A:U,4,FALSE)))</f>
        <v>13.850199122549315</v>
      </c>
      <c r="CB9" s="62">
        <f t="shared" ca="1" si="24"/>
        <v>0</v>
      </c>
      <c r="CC9" s="8"/>
      <c r="CD9" s="61">
        <f t="shared" si="25"/>
        <v>8.1199999999999992</v>
      </c>
      <c r="CE9" s="61">
        <f t="shared" si="26"/>
        <v>9.1999999999999993</v>
      </c>
      <c r="CF9" s="61">
        <f t="shared" si="27"/>
        <v>8.6326515151515153</v>
      </c>
      <c r="CG9" s="14"/>
      <c r="CH9" s="35">
        <f t="shared" si="1"/>
        <v>8.1437156929019938</v>
      </c>
      <c r="CI9" s="15">
        <f t="shared" si="28"/>
        <v>8.3249999999999886</v>
      </c>
      <c r="CJ9" s="35">
        <f t="shared" si="2"/>
        <v>8.5062843070979834</v>
      </c>
      <c r="CL9" s="14"/>
      <c r="CM9" s="17">
        <f t="shared" si="3"/>
        <v>6.8533333333333371</v>
      </c>
      <c r="CN9" s="17">
        <f t="shared" si="4"/>
        <v>7.4866666666666681</v>
      </c>
      <c r="CO9" s="17">
        <f t="shared" si="5"/>
        <v>7.9333333333333371</v>
      </c>
      <c r="CP9" s="38">
        <f t="shared" si="29"/>
        <v>8.5666666666666682</v>
      </c>
      <c r="CQ9" s="17">
        <f t="shared" si="6"/>
        <v>9.0133333333333372</v>
      </c>
      <c r="CR9" s="17">
        <f t="shared" si="7"/>
        <v>9.6466666666666683</v>
      </c>
      <c r="CS9" s="17">
        <f t="shared" si="8"/>
        <v>10.093333333333337</v>
      </c>
      <c r="CT9" s="2" cm="1">
        <f t="array" aca="1" ref="CT9" ca="1">MAX(_xlfn._xlws.FILTER(CM9:CS9,CM9:CS9&lt;BO9))</f>
        <v>7.9333333333333371</v>
      </c>
      <c r="CU9" s="2" cm="1">
        <f t="array" aca="1" ref="CU9" ca="1">MIN(_xlfn._xlws.FILTER($CM9:$CS9,$CM9:$CS9&gt;BO9))</f>
        <v>8.5666666666666682</v>
      </c>
      <c r="CV9" s="16">
        <f t="shared" ca="1" si="30"/>
        <v>7.983193277310896E-2</v>
      </c>
      <c r="CW9" s="20">
        <f t="shared" ca="1" si="31"/>
        <v>-3.991596638655448E-2</v>
      </c>
      <c r="CX9" s="20">
        <f t="shared" ca="1" si="32"/>
        <v>-2.6610644257702987E-2</v>
      </c>
      <c r="CY9" s="20">
        <f t="shared" ca="1" si="33"/>
        <v>-1.5966386554621792E-2</v>
      </c>
      <c r="CZ9" s="20">
        <f t="shared" ca="1" si="34"/>
        <v>-8.8702147525676622E-3</v>
      </c>
      <c r="DA9" s="20">
        <f t="shared" ref="DA9:DA13" ca="1" si="40">-$CV9/17</f>
        <v>-4.6959960454769981E-3</v>
      </c>
      <c r="DB9" s="20">
        <f t="shared" ref="DB9:DB13" ca="1" si="41">-$CV9/33</f>
        <v>-2.4191494779729986E-3</v>
      </c>
      <c r="DC9" s="20">
        <f t="shared" ref="DC9:DC13" ca="1" si="42">-$CV9/65</f>
        <v>-1.2281835811247532E-3</v>
      </c>
      <c r="DD9" s="21">
        <f t="shared" ref="DD9:DD13" ca="1" si="43">-$CV9/65*-1</f>
        <v>1.2281835811247532E-3</v>
      </c>
      <c r="DE9" s="21">
        <f t="shared" ref="DE9:DE13" ca="1" si="44">-$CV9/33*-1</f>
        <v>2.4191494779729986E-3</v>
      </c>
      <c r="DF9" s="21">
        <f t="shared" ref="DF9:DF13" ca="1" si="45">-$CV9/17*-1</f>
        <v>4.6959960454769981E-3</v>
      </c>
      <c r="DG9" s="21">
        <f t="shared" ca="1" si="35"/>
        <v>8.8702147525676622E-3</v>
      </c>
      <c r="DH9" s="21">
        <f t="shared" ca="1" si="36"/>
        <v>1.5966386554621792E-2</v>
      </c>
      <c r="DI9" s="21">
        <f t="shared" ca="1" si="37"/>
        <v>2.6610644257702987E-2</v>
      </c>
      <c r="DJ9" s="21">
        <f t="shared" ca="1" si="38"/>
        <v>3.991596638655448E-2</v>
      </c>
      <c r="DL9" s="16" cm="1">
        <f t="array" aca="1" ref="DL9" ca="1">MAX(_xlfn._xlws.FILTER(CW9:DJ9,CW9:DJ9&lt;BU9))</f>
        <v>-4.6959960454769981E-3</v>
      </c>
      <c r="DM9" s="16" cm="1">
        <f t="array" aca="1" ref="DM9" ca="1">MIN(_xlfn._xlws.FILTER(CW9:DJ9,CW9:DJ9&gt;BU9))</f>
        <v>-2.4191494779729986E-3</v>
      </c>
      <c r="DN9" s="2" cm="1">
        <f t="array" aca="1" ref="DN9" ca="1">_FV(EC9,"Fechamento anterior",TRUE)</f>
        <v>8.41</v>
      </c>
      <c r="DO9" s="28">
        <f t="shared" ca="1" si="15"/>
        <v>0.49577961699732775</v>
      </c>
      <c r="DP9" s="15">
        <f t="shared" ca="1" si="16"/>
        <v>8.3705066732575393</v>
      </c>
      <c r="DQ9" s="15">
        <f t="shared" ca="1" si="17"/>
        <v>8.3896549528902469</v>
      </c>
      <c r="DR9" s="9"/>
      <c r="DS9" s="9"/>
      <c r="DT9" s="9"/>
      <c r="DU9" s="89">
        <v>2.125382739576792E-3</v>
      </c>
      <c r="DV9" s="89">
        <f t="shared" ca="1" si="18"/>
        <v>2.2768465675039994E-3</v>
      </c>
      <c r="DW9" s="72">
        <f t="shared" ca="1" si="19"/>
        <v>0.30339084987803949</v>
      </c>
      <c r="DX9" s="37"/>
      <c r="DY9" s="35">
        <f t="shared" si="39"/>
        <v>9.0642153548997267E-2</v>
      </c>
      <c r="DZ9" s="56"/>
      <c r="EA9" s="56"/>
      <c r="EC9" s="2" t="e" vm="9">
        <v>#VALUE!</v>
      </c>
      <c r="EE9" s="10" cm="1">
        <f t="array" aca="1" ref="EE9" ca="1">_FV(EC9,"Ações em circulação",TRUE)</f>
        <v>315912900</v>
      </c>
      <c r="EF9" s="18">
        <f>VLOOKUP(BP9,Fundamentus!A:U,5,FALSE)</f>
        <v>0</v>
      </c>
      <c r="EG9" s="2" t="e">
        <f t="shared" ca="1" si="20"/>
        <v>#DIV/0!</v>
      </c>
      <c r="EH9" s="17" t="e">
        <v>#DIV/0!</v>
      </c>
      <c r="EI9" s="17" t="e">
        <f t="shared" ca="1" si="21"/>
        <v>#DIV/0!</v>
      </c>
      <c r="EK9" s="16" t="e">
        <f t="shared" ca="1" si="22"/>
        <v>#DIV/0!</v>
      </c>
      <c r="EL9" s="32" t="str">
        <f>IF(VLOOKUP(BP9,Fundamentus!A:U,3,FALSE)&lt;15,"Bom",IF(VLOOKUP(BP9,Fundamentus!A:U,3,FALSE)&gt;15,"Ruim","n/a"))</f>
        <v>Bom</v>
      </c>
      <c r="EM9" s="28" t="str">
        <f>IF(VLOOKUP(BP9,Fundamentus!A:U,4,FALSE)&lt;1,"Baixo",IF(VLOOKUP(BP9,Fundamentus!A:U,4,FALSE)&lt;1.5,"Moderado",IF(VLOOKUP(BP9,Fundamentus!A:U,4,FALSE)&gt;1.5,"Alto","n/a")))</f>
        <v>Moderado</v>
      </c>
      <c r="EN9" s="17" t="str">
        <f>IF(VLOOKUP(BP9,Fundamentus!A:U,8,FALSE)&lt;0,"Risco elevado",IF(VLOOKUP(BP9,Fundamentus!A:U,8,FALSE)&lt;1,"Saudável",IF(VLOOKUP(BP9,Fundamentus!A:U,8,FALSE)&lt;3,"Estável",IF(VLOOKUP(BP9,Fundamentus!A:U,8,FALSE)&gt;3,"Alerta","n/a"))))</f>
        <v>Saudável</v>
      </c>
      <c r="EO9" s="28" t="str">
        <f t="shared" si="23"/>
        <v>Ruim</v>
      </c>
      <c r="EP9" s="17" t="str">
        <f>IF(VLOOKUP(BP9,Fundamentus!A:U,12,FALSE)&lt;2,"Subvalorizada",IF(VLOOKUP(BP9,Fundamentus!A:U,12,FALSE)&lt;6,"Muita barata",IF(VLOOKUP(BP9,Fundamentus!A:U,12,FALSE)&lt;6,"Barata",IF(VLOOKUP(BP9,Fundamentus!A:U,12,FALSE)&lt;8,"Atrativa",IF(VLOOKUP(BP9,Fundamentus!A:U,12,FALSE)&gt;8,"Supervalorizada","n/a")))))</f>
        <v>Subvalorizada</v>
      </c>
      <c r="ER9" s="17" t="str">
        <f>IF(VLOOKUP(BP9,Fundamentus!A:U,17,FALSE)&lt;0.1,"Fraco retorno",IF(VLOOKUP(BP9,Fundamentus!A:U,17,FALSE)&gt;0.1,"Bom retorno","n/a"))</f>
        <v>Bom retorno</v>
      </c>
      <c r="ES9" s="17" t="str">
        <f>IF(VLOOKUP(BP9,Fundamentus!A:U,16,FALSE)&lt;0.1,"Ineficiente",IF(VLOOKUP(BP9,Fundamentus!A:U,16,FALSE)&gt;0.1,"Eficiente","n/a"))</f>
        <v>Ineficiente</v>
      </c>
      <c r="ET9" s="33" t="str">
        <f>IF(VLOOKUP(BP9,Fundamentus!A:U,16,FALSE)&lt;0.1,"Oper. Ineficiente",IF(VLOOKUP(BP9,Fundamentus!A:U,16,FALSE)&gt;0.1,"Oper.Eficiente","n/a"))</f>
        <v>Oper. Ineficiente</v>
      </c>
      <c r="EU9" s="34">
        <f>VLOOKUP(BP9,Fundamentus!A:U,14,FALSE)</f>
        <v>0</v>
      </c>
      <c r="EV9" s="17" t="str">
        <f>IF(VLOOKUP(BP9,Fundamentus!A:U,21,FALSE)&lt;0,"Negativo",IF(VLOOKUP(BP9,Fundamentus!A:U,21,FALSE)&lt;0.05,"Fraco",IF(VLOOKUP(BP9,Fundamentus!A:U,21,FALSE)&lt;0.1,"Bom",IF(VLOOKUP(BP9,Fundamentus!A:U,21,FALSE)&gt;0.1,"Muito bom","n/a"))))</f>
        <v>Muito bom</v>
      </c>
      <c r="EX9" s="29" t="str">
        <f>IF(VLOOKUP(BP9,Fundamentus!A:U,15,FALSE)&gt;1,"Bom",IF(VLOOKUP(BP9,Fundamentus!A:U,15,FALSE)&lt;1,"Ruim","n/a"))</f>
        <v>Ruim</v>
      </c>
      <c r="EY9" s="17" t="str">
        <f>IF(VLOOKUP(BP9,Fundamentus!A:U,20,FALSE)&lt;0.5,"Baixa",IF(VLOOKUP(BP9,Fundamentus!A:U,20,FALSE)&lt;1,"Moderada",IF(VLOOKUP(BP9,Fundamentus!A:U,20,FALSE)&lt;2,"Alerta",IF(VLOOKUP(BP9,Fundamentus!A:U,20,FALSE)&gt;2,"Alta","n/a"))))</f>
        <v>Baixa</v>
      </c>
    </row>
    <row r="10" spans="1:155" s="2" customFormat="1" ht="11.25" x14ac:dyDescent="0.2">
      <c r="A10" s="4">
        <v>12.37</v>
      </c>
      <c r="B10" s="4">
        <v>12.05</v>
      </c>
      <c r="C10" s="4">
        <v>12.38</v>
      </c>
      <c r="D10" s="4">
        <v>11.87</v>
      </c>
      <c r="E10" s="4">
        <v>11.59</v>
      </c>
      <c r="F10" s="4">
        <v>11.56</v>
      </c>
      <c r="G10" s="4">
        <v>11.24</v>
      </c>
      <c r="H10" s="4">
        <v>11.28</v>
      </c>
      <c r="I10" s="4">
        <v>11.41</v>
      </c>
      <c r="J10" s="4">
        <v>11.32</v>
      </c>
      <c r="K10" s="4">
        <v>11.64</v>
      </c>
      <c r="L10" s="4">
        <v>11.73</v>
      </c>
      <c r="M10" s="4">
        <v>11.88</v>
      </c>
      <c r="N10" s="4">
        <v>11.87</v>
      </c>
      <c r="O10" s="4">
        <v>12.45</v>
      </c>
      <c r="P10" s="4">
        <v>12.89</v>
      </c>
      <c r="Q10" s="4">
        <v>13.08</v>
      </c>
      <c r="R10" s="4">
        <v>12.86</v>
      </c>
      <c r="S10" s="4">
        <v>12.99</v>
      </c>
      <c r="T10" s="4">
        <v>12.73</v>
      </c>
      <c r="U10" s="4">
        <v>12.76</v>
      </c>
      <c r="V10" s="4">
        <v>12.92</v>
      </c>
      <c r="W10" s="4">
        <v>13.28</v>
      </c>
      <c r="X10" s="4">
        <v>12.88</v>
      </c>
      <c r="Y10" s="4">
        <v>12.77</v>
      </c>
      <c r="Z10" s="4">
        <v>12.75</v>
      </c>
      <c r="AA10" s="4">
        <v>12.54</v>
      </c>
      <c r="AB10" s="4">
        <v>12.33</v>
      </c>
      <c r="AC10" s="4">
        <v>12.64</v>
      </c>
      <c r="AD10" s="4">
        <v>12.68</v>
      </c>
      <c r="AE10" s="4">
        <v>12.68</v>
      </c>
      <c r="AF10" s="4">
        <v>14.22</v>
      </c>
      <c r="AG10" s="4">
        <v>13.08</v>
      </c>
      <c r="AH10" s="4">
        <v>12.22</v>
      </c>
      <c r="AI10" s="4">
        <v>12.07</v>
      </c>
      <c r="AJ10" s="4">
        <v>11.33</v>
      </c>
      <c r="AK10" s="4">
        <v>11.16</v>
      </c>
      <c r="AL10" s="4">
        <v>11.09</v>
      </c>
      <c r="AM10" s="4">
        <v>10.87</v>
      </c>
      <c r="AN10" s="4">
        <v>11.1</v>
      </c>
      <c r="AO10" s="4">
        <v>10.85</v>
      </c>
      <c r="AP10" s="4">
        <v>11.13</v>
      </c>
      <c r="AQ10" s="4">
        <v>11.12</v>
      </c>
      <c r="AR10" s="4">
        <v>12.22</v>
      </c>
      <c r="AS10" s="4">
        <v>13.1</v>
      </c>
      <c r="AT10" s="4">
        <v>13.64</v>
      </c>
      <c r="AU10" s="4">
        <v>13.664999999999999</v>
      </c>
      <c r="AV10" s="4">
        <v>13.43</v>
      </c>
      <c r="AW10" s="4">
        <v>13.71</v>
      </c>
      <c r="AX10" s="4">
        <v>13.48</v>
      </c>
      <c r="AY10" s="12">
        <v>14</v>
      </c>
      <c r="AZ10" s="12">
        <v>14.09</v>
      </c>
      <c r="BA10" s="12">
        <v>14.57</v>
      </c>
      <c r="BB10" s="15">
        <v>14.37</v>
      </c>
      <c r="BC10" s="52">
        <v>14.41</v>
      </c>
      <c r="BD10" s="52">
        <v>14.24</v>
      </c>
      <c r="BE10" s="52">
        <v>14.03</v>
      </c>
      <c r="BF10" s="52">
        <v>14.08</v>
      </c>
      <c r="BG10" s="67">
        <v>13.64</v>
      </c>
      <c r="BH10" s="52">
        <v>13.53</v>
      </c>
      <c r="BI10" s="52">
        <v>13.15</v>
      </c>
      <c r="BJ10" s="52">
        <v>13.52</v>
      </c>
      <c r="BK10" s="52">
        <v>13.3</v>
      </c>
      <c r="BL10" s="52">
        <v>13.32</v>
      </c>
      <c r="BM10" s="52">
        <v>13.47</v>
      </c>
      <c r="BN10" s="52">
        <v>12.29</v>
      </c>
      <c r="BO10" s="52" cm="1">
        <f t="array" aca="1" ref="BO10" ca="1">_FV(EC10,"Preço")</f>
        <v>12.29</v>
      </c>
      <c r="BP10" s="69" t="s">
        <v>7</v>
      </c>
      <c r="BQ10" s="36" cm="1">
        <f t="array" aca="1" ref="BQ10" ca="1">_FV(EC10,"Média de volume",TRUE)</f>
        <v>33623880</v>
      </c>
      <c r="BR10" s="36">
        <v>34252600</v>
      </c>
      <c r="BS10" s="36" cm="1">
        <f t="array" aca="1" ref="BS10" ca="1">_FV(EC10,"Volume")</f>
        <v>34252600</v>
      </c>
      <c r="BT10" s="24" cm="1">
        <f t="array" aca="1" ref="BT10" ca="1">_FV(EC10,"Beta")</f>
        <v>0.6825</v>
      </c>
      <c r="BU10" s="71" cm="1">
        <f t="array" aca="1" ref="BU10" ca="1">_FV(EC10,"Variação (%)",TRUE)</f>
        <v>-1.3644E-2</v>
      </c>
      <c r="BW10" s="17" cm="1">
        <f t="array" aca="1" ref="BW10" ca="1">_FV(EC10,"Baixo")</f>
        <v>12.22</v>
      </c>
      <c r="BX10" s="17" cm="1">
        <f t="array" aca="1" ref="BX10" ca="1">_FV(EC10,"Alto")</f>
        <v>12.68</v>
      </c>
      <c r="BY10" s="24"/>
      <c r="BZ10" s="63">
        <f ca="1">SQRT(22.5*(BO10/VLOOKUP(BP10,Fundamentus!A:U,3,FALSE))*(BO10/VLOOKUP(BP10,Fundamentus!A:U,4,FALSE)))</f>
        <v>10.044151688360554</v>
      </c>
      <c r="CB10" s="62">
        <f t="shared" ca="1" si="24"/>
        <v>0</v>
      </c>
      <c r="CC10" s="8"/>
      <c r="CD10" s="61">
        <f t="shared" si="25"/>
        <v>10.85</v>
      </c>
      <c r="CE10" s="61">
        <f t="shared" si="26"/>
        <v>14.57</v>
      </c>
      <c r="CF10" s="61">
        <f t="shared" si="27"/>
        <v>12.650227272727273</v>
      </c>
      <c r="CG10" s="14"/>
      <c r="CH10" s="35">
        <f t="shared" si="1"/>
        <v>11.469108174228291</v>
      </c>
      <c r="CI10" s="15">
        <f t="shared" si="28"/>
        <v>12.375</v>
      </c>
      <c r="CJ10" s="35">
        <f t="shared" si="2"/>
        <v>13.280891825771709</v>
      </c>
      <c r="CL10" s="14"/>
      <c r="CM10" s="17">
        <f t="shared" si="3"/>
        <v>6.85</v>
      </c>
      <c r="CN10" s="17">
        <f t="shared" si="4"/>
        <v>8.85</v>
      </c>
      <c r="CO10" s="17">
        <f t="shared" si="5"/>
        <v>10.57</v>
      </c>
      <c r="CP10" s="38">
        <f t="shared" si="29"/>
        <v>12.57</v>
      </c>
      <c r="CQ10" s="17">
        <f t="shared" si="6"/>
        <v>14.290000000000001</v>
      </c>
      <c r="CR10" s="17">
        <f t="shared" si="7"/>
        <v>16.29</v>
      </c>
      <c r="CS10" s="17">
        <f t="shared" si="8"/>
        <v>18.010000000000002</v>
      </c>
      <c r="CT10" s="2" cm="1">
        <f t="array" aca="1" ref="CT10" ca="1">MAX(_xlfn._xlws.FILTER(CM10:CS10,CM10:CS10&lt;BO10))</f>
        <v>10.57</v>
      </c>
      <c r="CU10" s="2" cm="1">
        <f t="array" aca="1" ref="CU10" ca="1">MIN(_xlfn._xlws.FILTER($CM10:$CS10,$CM10:$CS10&gt;BO10))</f>
        <v>12.57</v>
      </c>
      <c r="CV10" s="16">
        <f t="shared" ca="1" si="30"/>
        <v>0.18921475875118254</v>
      </c>
      <c r="CW10" s="20">
        <f t="shared" ca="1" si="31"/>
        <v>-9.4607379375591272E-2</v>
      </c>
      <c r="CX10" s="20">
        <f t="shared" ca="1" si="32"/>
        <v>-6.3071586250394177E-2</v>
      </c>
      <c r="CY10" s="20">
        <f t="shared" ca="1" si="33"/>
        <v>-3.7842951750236511E-2</v>
      </c>
      <c r="CZ10" s="20">
        <f t="shared" ca="1" si="34"/>
        <v>-2.1023862083464726E-2</v>
      </c>
      <c r="DA10" s="20">
        <f t="shared" ca="1" si="40"/>
        <v>-1.113027992654015E-2</v>
      </c>
      <c r="DB10" s="20">
        <f t="shared" ca="1" si="41"/>
        <v>-5.7337805682176526E-3</v>
      </c>
      <c r="DC10" s="20">
        <f t="shared" ca="1" si="42"/>
        <v>-2.9109962884797313E-3</v>
      </c>
      <c r="DD10" s="21">
        <f t="shared" ca="1" si="43"/>
        <v>2.9109962884797313E-3</v>
      </c>
      <c r="DE10" s="21">
        <f t="shared" ca="1" si="44"/>
        <v>5.7337805682176526E-3</v>
      </c>
      <c r="DF10" s="21">
        <f t="shared" ca="1" si="45"/>
        <v>1.113027992654015E-2</v>
      </c>
      <c r="DG10" s="21">
        <f t="shared" ca="1" si="35"/>
        <v>2.1023862083464726E-2</v>
      </c>
      <c r="DH10" s="21">
        <f t="shared" ca="1" si="36"/>
        <v>3.7842951750236511E-2</v>
      </c>
      <c r="DI10" s="21">
        <f t="shared" ca="1" si="37"/>
        <v>6.3071586250394177E-2</v>
      </c>
      <c r="DJ10" s="21">
        <f t="shared" ca="1" si="38"/>
        <v>9.4607379375591272E-2</v>
      </c>
      <c r="DL10" s="16" cm="1">
        <f t="array" aca="1" ref="DL10" ca="1">MAX(_xlfn._xlws.FILTER(CW10:DJ10,CW10:DJ10&lt;BU10))</f>
        <v>-2.1023862083464726E-2</v>
      </c>
      <c r="DM10" s="16" cm="1">
        <f t="array" aca="1" ref="DM10" ca="1">MIN(_xlfn._xlws.FILTER(CW10:DJ10,CW10:DJ10&gt;BU10))</f>
        <v>-1.113027992654015E-2</v>
      </c>
      <c r="DN10" s="2" cm="1">
        <f t="array" aca="1" ref="DN10" ca="1">_FV(EC10,"Fechamento anterior",TRUE)</f>
        <v>12.46</v>
      </c>
      <c r="DO10" s="28">
        <f t="shared" ca="1" si="15"/>
        <v>0.74595856741571831</v>
      </c>
      <c r="DP10" s="15">
        <f t="shared" ca="1" si="16"/>
        <v>12.19804267844003</v>
      </c>
      <c r="DQ10" s="15">
        <f t="shared" ca="1" si="17"/>
        <v>12.32131671211531</v>
      </c>
      <c r="DR10" s="9"/>
      <c r="DS10" s="9"/>
      <c r="DT10" s="9"/>
      <c r="DU10" s="89">
        <v>4.9164052261625865E-3</v>
      </c>
      <c r="DV10" s="89">
        <f t="shared" ca="1" si="18"/>
        <v>9.8935821569245755E-3</v>
      </c>
      <c r="DW10" s="72">
        <f t="shared" ca="1" si="19"/>
        <v>-9.383018764695357E-2</v>
      </c>
      <c r="DX10" s="37"/>
      <c r="DY10" s="35">
        <f t="shared" si="39"/>
        <v>0.45294591288585478</v>
      </c>
      <c r="DZ10" s="56"/>
      <c r="EA10" s="56"/>
      <c r="EC10" s="2" t="e" vm="10">
        <v>#VALUE!</v>
      </c>
      <c r="EE10" s="10" cm="1">
        <f t="array" aca="1" ref="EE10" ca="1">_FV(EC10,"Ações em circulação",TRUE)</f>
        <v>15761640000</v>
      </c>
      <c r="EF10" s="18">
        <f>VLOOKUP(BP10,Fundamentus!A:U,5,FALSE)</f>
        <v>2.3370000000000002</v>
      </c>
      <c r="EG10" s="2">
        <f t="shared" ca="1" si="20"/>
        <v>82888556097.560974</v>
      </c>
      <c r="EH10" s="17">
        <v>13427946087.804878</v>
      </c>
      <c r="EI10" s="17">
        <f t="shared" ca="1" si="21"/>
        <v>13427946087.804878</v>
      </c>
      <c r="EK10" s="16">
        <f t="shared" ca="1" si="22"/>
        <v>0</v>
      </c>
      <c r="EL10" s="32" t="str">
        <f>IF(VLOOKUP(BP10,Fundamentus!A:U,3,FALSE)&lt;15,"Bom",IF(VLOOKUP(BP10,Fundamentus!A:U,3,FALSE)&gt;15,"Ruim","n/a"))</f>
        <v>Bom</v>
      </c>
      <c r="EM10" s="28" t="str">
        <f>IF(VLOOKUP(BP10,Fundamentus!A:U,4,FALSE)&lt;1,"Baixo",IF(VLOOKUP(BP10,Fundamentus!A:U,4,FALSE)&lt;1.5,"Moderado",IF(VLOOKUP(BP10,Fundamentus!A:U,4,FALSE)&gt;1.5,"Alto","n/a")))</f>
        <v>Alto</v>
      </c>
      <c r="EN10" s="17" t="str">
        <f>IF(VLOOKUP(BP10,Fundamentus!A:U,8,FALSE)&lt;0,"Risco elevado",IF(VLOOKUP(BP10,Fundamentus!A:U,8,FALSE)&lt;1,"Saudável",IF(VLOOKUP(BP10,Fundamentus!A:U,8,FALSE)&lt;3,"Estável",IF(VLOOKUP(BP10,Fundamentus!A:U,8,FALSE)&gt;3,"Alerta","n/a"))))</f>
        <v>Alerta</v>
      </c>
      <c r="EO10" s="28" t="str">
        <f t="shared" si="23"/>
        <v>Bom</v>
      </c>
      <c r="EP10" s="17" t="str">
        <f>IF(VLOOKUP(BP10,Fundamentus!A:U,12,FALSE)&lt;2,"Subvalorizada",IF(VLOOKUP(BP10,Fundamentus!A:U,12,FALSE)&lt;6,"Muita barata",IF(VLOOKUP(BP10,Fundamentus!A:U,12,FALSE)&lt;6,"Barata",IF(VLOOKUP(BP10,Fundamentus!A:U,12,FALSE)&lt;8,"Atrativa",IF(VLOOKUP(BP10,Fundamentus!A:U,12,FALSE)&gt;8,"Supervalorizada","n/a")))))</f>
        <v>Atrativa</v>
      </c>
      <c r="ER10" s="17" t="str">
        <f>IF(VLOOKUP(BP10,Fundamentus!A:U,17,FALSE)&lt;0.1,"Fraco retorno",IF(VLOOKUP(BP10,Fundamentus!A:U,17,FALSE)&gt;0.1,"Bom retorno","n/a"))</f>
        <v>Bom retorno</v>
      </c>
      <c r="ES10" s="17" t="str">
        <f>IF(VLOOKUP(BP10,Fundamentus!A:U,16,FALSE)&lt;0.1,"Ineficiente",IF(VLOOKUP(BP10,Fundamentus!A:U,16,FALSE)&gt;0.1,"Eficiente","n/a"))</f>
        <v>Eficiente</v>
      </c>
      <c r="ET10" s="33" t="str">
        <f>IF(VLOOKUP(BP10,Fundamentus!A:U,16,FALSE)&lt;0.1,"Oper. Ineficiente",IF(VLOOKUP(BP10,Fundamentus!A:U,16,FALSE)&gt;0.1,"Oper.Eficiente","n/a"))</f>
        <v>Oper.Eficiente</v>
      </c>
      <c r="EU10" s="34">
        <f>VLOOKUP(BP10,Fundamentus!A:U,14,FALSE)</f>
        <v>0.16200000000000001</v>
      </c>
      <c r="EV10" s="17" t="str">
        <f>IF(VLOOKUP(BP10,Fundamentus!A:U,21,FALSE)&lt;0,"Negativo",IF(VLOOKUP(BP10,Fundamentus!A:U,21,FALSE)&lt;0.05,"Fraco",IF(VLOOKUP(BP10,Fundamentus!A:U,21,FALSE)&lt;0.1,"Bom",IF(VLOOKUP(BP10,Fundamentus!A:U,21,FALSE)&gt;0.1,"Muito bom","n/a"))))</f>
        <v>Bom</v>
      </c>
      <c r="EX10" s="29" t="str">
        <f>IF(VLOOKUP(BP10,Fundamentus!A:U,15,FALSE)&gt;1,"Bom",IF(VLOOKUP(BP10,Fundamentus!A:U,15,FALSE)&lt;1,"Ruim","n/a"))</f>
        <v>Bom</v>
      </c>
      <c r="EY10" s="17" t="str">
        <f>IF(VLOOKUP(BP10,Fundamentus!A:U,20,FALSE)&lt;0.5,"Baixa",IF(VLOOKUP(BP10,Fundamentus!A:U,20,FALSE)&lt;1,"Moderada",IF(VLOOKUP(BP10,Fundamentus!A:U,20,FALSE)&lt;2,"Alerta",IF(VLOOKUP(BP10,Fundamentus!A:U,20,FALSE)&gt;2,"Alta","n/a"))))</f>
        <v>Baixa</v>
      </c>
    </row>
    <row r="11" spans="1:155" s="2" customFormat="1" ht="11.25" x14ac:dyDescent="0.2">
      <c r="A11" s="4">
        <v>2.0099999999999998</v>
      </c>
      <c r="B11" s="4">
        <v>2.13</v>
      </c>
      <c r="C11" s="4">
        <v>2.12</v>
      </c>
      <c r="D11" s="4">
        <v>2.52</v>
      </c>
      <c r="E11" s="4">
        <v>2.95</v>
      </c>
      <c r="F11" s="4">
        <v>2.25</v>
      </c>
      <c r="G11" s="4">
        <v>2.2799999999999998</v>
      </c>
      <c r="H11" s="4">
        <v>2.36</v>
      </c>
      <c r="I11" s="4">
        <v>2.56</v>
      </c>
      <c r="J11" s="4">
        <v>2.73</v>
      </c>
      <c r="K11" s="4">
        <v>2.64</v>
      </c>
      <c r="L11" s="4">
        <v>2.96</v>
      </c>
      <c r="M11" s="4">
        <v>3.01</v>
      </c>
      <c r="N11" s="4">
        <v>2.8</v>
      </c>
      <c r="O11" s="4">
        <v>2.73</v>
      </c>
      <c r="P11" s="4">
        <v>2.73</v>
      </c>
      <c r="Q11" s="4">
        <v>2.73</v>
      </c>
      <c r="R11" s="4">
        <v>3.05</v>
      </c>
      <c r="S11" s="4">
        <v>3.15</v>
      </c>
      <c r="T11" s="4">
        <v>2.98</v>
      </c>
      <c r="U11" s="4">
        <v>2.92</v>
      </c>
      <c r="V11" s="4">
        <v>3.03</v>
      </c>
      <c r="W11" s="4">
        <v>3.12</v>
      </c>
      <c r="X11" s="4">
        <v>3.02</v>
      </c>
      <c r="Y11" s="4">
        <v>2.91</v>
      </c>
      <c r="Z11" s="4">
        <v>2.96</v>
      </c>
      <c r="AA11" s="4">
        <v>2.95</v>
      </c>
      <c r="AB11" s="4">
        <v>2.69</v>
      </c>
      <c r="AC11" s="4">
        <v>2.4900000000000002</v>
      </c>
      <c r="AD11" s="4">
        <v>2.6</v>
      </c>
      <c r="AE11" s="4">
        <v>2.69</v>
      </c>
      <c r="AF11" s="4">
        <v>2.64</v>
      </c>
      <c r="AG11" s="4">
        <v>2.56</v>
      </c>
      <c r="AH11" s="4">
        <v>2.69</v>
      </c>
      <c r="AI11" s="4">
        <v>2.56</v>
      </c>
      <c r="AJ11" s="4">
        <v>2.79</v>
      </c>
      <c r="AK11" s="4">
        <v>2.72</v>
      </c>
      <c r="AL11" s="4">
        <v>2.85</v>
      </c>
      <c r="AM11" s="4">
        <v>2.88</v>
      </c>
      <c r="AN11" s="4">
        <v>2.93</v>
      </c>
      <c r="AO11" s="4">
        <v>2.85</v>
      </c>
      <c r="AP11" s="4">
        <v>2.92</v>
      </c>
      <c r="AQ11" s="4">
        <v>2.87</v>
      </c>
      <c r="AR11" s="4">
        <v>2.9</v>
      </c>
      <c r="AS11" s="4">
        <v>2.89</v>
      </c>
      <c r="AT11" s="4">
        <v>2.88</v>
      </c>
      <c r="AU11" s="4">
        <v>2.8849999999999998</v>
      </c>
      <c r="AV11" s="4">
        <v>2.91</v>
      </c>
      <c r="AW11" s="4">
        <v>2.78</v>
      </c>
      <c r="AX11" s="4">
        <v>2.75</v>
      </c>
      <c r="AY11" s="12">
        <v>2.89</v>
      </c>
      <c r="AZ11" s="12">
        <v>2.9</v>
      </c>
      <c r="BA11" s="12">
        <v>2.82</v>
      </c>
      <c r="BB11" s="15">
        <v>2.81</v>
      </c>
      <c r="BC11" s="52">
        <v>2.82</v>
      </c>
      <c r="BD11" s="52">
        <v>2.88</v>
      </c>
      <c r="BE11" s="52">
        <v>2.98</v>
      </c>
      <c r="BF11" s="52">
        <v>2.9</v>
      </c>
      <c r="BG11" s="67">
        <v>2.88</v>
      </c>
      <c r="BH11" s="52">
        <v>2.91</v>
      </c>
      <c r="BI11" s="52">
        <v>2.9</v>
      </c>
      <c r="BJ11" s="52">
        <v>2.96</v>
      </c>
      <c r="BK11" s="52">
        <v>2.9</v>
      </c>
      <c r="BL11" s="52">
        <v>2.9</v>
      </c>
      <c r="BM11" s="52">
        <v>2.98</v>
      </c>
      <c r="BN11" s="52">
        <v>2.91</v>
      </c>
      <c r="BO11" s="52" cm="1">
        <f t="array" aca="1" ref="BO11" ca="1">_FV(EC11,"Preço")</f>
        <v>2.91</v>
      </c>
      <c r="BP11" s="69" t="s">
        <v>8</v>
      </c>
      <c r="BQ11" s="36" cm="1">
        <f t="array" aca="1" ref="BQ11" ca="1">_FV(EC11,"Média de volume",TRUE)</f>
        <v>4590</v>
      </c>
      <c r="BR11" s="36">
        <v>8200</v>
      </c>
      <c r="BS11" s="36" cm="1">
        <f t="array" aca="1" ref="BS11" ca="1">_FV(EC11,"Volume")</f>
        <v>8200</v>
      </c>
      <c r="BT11" s="24" cm="1">
        <f t="array" aca="1" ref="BT11" ca="1">_FV(EC11,"Beta")</f>
        <v>0.85309999999999997</v>
      </c>
      <c r="BU11" s="71" cm="1">
        <f t="array" aca="1" ref="BU11" ca="1">_FV(EC11,"Variação (%)",TRUE)</f>
        <v>3.4480000000000001E-3</v>
      </c>
      <c r="BW11" s="17" cm="1">
        <f t="array" aca="1" ref="BW11" ca="1">_FV(EC11,"Baixo")</f>
        <v>2.91</v>
      </c>
      <c r="BX11" s="17" cm="1">
        <f t="array" aca="1" ref="BX11" ca="1">_FV(EC11,"Alto")</f>
        <v>3</v>
      </c>
      <c r="BY11" s="24"/>
      <c r="BZ11" s="63">
        <f ca="1">SQRT(22.5*(BO11/VLOOKUP(BP11,Fundamentus!A:U,3,FALSE))*(BO11/VLOOKUP(BP11,Fundamentus!A:U,4,FALSE)))</f>
        <v>205.76807332528537</v>
      </c>
      <c r="CB11" s="62">
        <f t="shared" ca="1" si="24"/>
        <v>0</v>
      </c>
      <c r="CC11" s="8"/>
      <c r="CD11" s="61">
        <f t="shared" si="25"/>
        <v>2.0099999999999998</v>
      </c>
      <c r="CE11" s="61">
        <f t="shared" si="26"/>
        <v>3.15</v>
      </c>
      <c r="CF11" s="61">
        <f t="shared" si="27"/>
        <v>2.7828030303030293</v>
      </c>
      <c r="CG11" s="14"/>
      <c r="CH11" s="35">
        <f t="shared" si="1"/>
        <v>2.8830671978772626</v>
      </c>
      <c r="CI11" s="15">
        <f t="shared" si="28"/>
        <v>2.9499999999999886</v>
      </c>
      <c r="CJ11" s="35">
        <f t="shared" si="2"/>
        <v>3.0169328021227146</v>
      </c>
      <c r="CL11" s="14"/>
      <c r="CM11" s="17">
        <f t="shared" si="3"/>
        <v>1.0899999999999999</v>
      </c>
      <c r="CN11" s="17">
        <f t="shared" si="4"/>
        <v>1.5499999999999998</v>
      </c>
      <c r="CO11" s="17">
        <f t="shared" si="5"/>
        <v>2.23</v>
      </c>
      <c r="CP11" s="38">
        <f t="shared" si="29"/>
        <v>2.69</v>
      </c>
      <c r="CQ11" s="17">
        <f t="shared" si="6"/>
        <v>3.37</v>
      </c>
      <c r="CR11" s="17">
        <f t="shared" si="7"/>
        <v>3.83</v>
      </c>
      <c r="CS11" s="17">
        <f t="shared" si="8"/>
        <v>4.51</v>
      </c>
      <c r="CT11" s="2" cm="1">
        <f t="array" aca="1" ref="CT11" ca="1">MAX(_xlfn._xlws.FILTER(CM11:CS11,CM11:CS11&lt;BO11))</f>
        <v>2.69</v>
      </c>
      <c r="CU11" s="2" cm="1">
        <f t="array" aca="1" ref="CU11" ca="1">MIN(_xlfn._xlws.FILTER($CM11:$CS11,$CM11:$CS11&gt;BO11))</f>
        <v>3.37</v>
      </c>
      <c r="CV11" s="16">
        <f t="shared" ca="1" si="30"/>
        <v>0.25278810408921948</v>
      </c>
      <c r="CW11" s="20">
        <f t="shared" ca="1" si="31"/>
        <v>-0.12639405204460974</v>
      </c>
      <c r="CX11" s="20">
        <f t="shared" ca="1" si="32"/>
        <v>-8.4262701363073164E-2</v>
      </c>
      <c r="CY11" s="20">
        <f t="shared" ca="1" si="33"/>
        <v>-5.0557620817843894E-2</v>
      </c>
      <c r="CZ11" s="20">
        <f t="shared" ca="1" si="34"/>
        <v>-2.8087567121024386E-2</v>
      </c>
      <c r="DA11" s="20">
        <f t="shared" ca="1" si="40"/>
        <v>-1.4869888475836439E-2</v>
      </c>
      <c r="DB11" s="20">
        <f t="shared" ca="1" si="41"/>
        <v>-7.660245578461196E-3</v>
      </c>
      <c r="DC11" s="20">
        <f t="shared" ca="1" si="42"/>
        <v>-3.8890477552187613E-3</v>
      </c>
      <c r="DD11" s="21">
        <f t="shared" ca="1" si="43"/>
        <v>3.8890477552187613E-3</v>
      </c>
      <c r="DE11" s="21">
        <f t="shared" ca="1" si="44"/>
        <v>7.660245578461196E-3</v>
      </c>
      <c r="DF11" s="21">
        <f t="shared" ca="1" si="45"/>
        <v>1.4869888475836439E-2</v>
      </c>
      <c r="DG11" s="21">
        <f t="shared" ca="1" si="35"/>
        <v>2.8087567121024386E-2</v>
      </c>
      <c r="DH11" s="21">
        <f t="shared" ca="1" si="36"/>
        <v>5.0557620817843894E-2</v>
      </c>
      <c r="DI11" s="21">
        <f t="shared" ca="1" si="37"/>
        <v>8.4262701363073164E-2</v>
      </c>
      <c r="DJ11" s="21">
        <f t="shared" ca="1" si="38"/>
        <v>0.12639405204460974</v>
      </c>
      <c r="DL11" s="16" cm="1">
        <f t="array" aca="1" ref="DL11" ca="1">MAX(_xlfn._xlws.FILTER(CW11:DJ11,CW11:DJ11&lt;BU11))</f>
        <v>-3.8890477552187613E-3</v>
      </c>
      <c r="DM11" s="16" cm="1">
        <f t="array" aca="1" ref="DM11" ca="1">MIN(_xlfn._xlws.FILTER(CW11:DJ11,CW11:DJ11&gt;BU11))</f>
        <v>3.8890477552187613E-3</v>
      </c>
      <c r="DN11" s="2" cm="1">
        <f t="array" aca="1" ref="DN11" ca="1">_FV(EC11,"Fechamento anterior",TRUE)</f>
        <v>2.9</v>
      </c>
      <c r="DO11" s="28">
        <f t="shared" ca="1" si="15"/>
        <v>0.94333164300204631</v>
      </c>
      <c r="DP11" s="15">
        <f t="shared" ca="1" si="16"/>
        <v>2.8887217615098657</v>
      </c>
      <c r="DQ11" s="15">
        <f t="shared" ca="1" si="17"/>
        <v>2.9112782384901341</v>
      </c>
      <c r="DR11" s="9"/>
      <c r="DS11" s="9"/>
      <c r="DT11" s="9"/>
      <c r="DU11" s="89">
        <v>7.1832026291229348E-3</v>
      </c>
      <c r="DV11" s="89">
        <f t="shared" ca="1" si="18"/>
        <v>7.7780955104375226E-3</v>
      </c>
      <c r="DW11" s="72">
        <f t="shared" ca="1" si="19"/>
        <v>-0.59761430466702514</v>
      </c>
      <c r="DX11" s="37"/>
      <c r="DY11" s="35">
        <f t="shared" si="39"/>
        <v>3.3466401061363026E-2</v>
      </c>
      <c r="DZ11" s="56"/>
      <c r="EA11" s="56"/>
      <c r="EC11" s="2" t="e" vm="11">
        <v>#VALUE!</v>
      </c>
      <c r="EE11" s="10" cm="1">
        <f t="array" aca="1" ref="EE11" ca="1">_FV(EC11,"Ações em circulação",TRUE)</f>
        <v>67691630</v>
      </c>
      <c r="EF11" s="18">
        <f>VLOOKUP(BP11,Fundamentus!A:U,5,FALSE)</f>
        <v>2.7E-2</v>
      </c>
      <c r="EG11" s="2">
        <f t="shared" ca="1" si="20"/>
        <v>7295653455.5555563</v>
      </c>
      <c r="EH11" s="17">
        <v>-1288412400.2511113</v>
      </c>
      <c r="EI11" s="17">
        <f t="shared" ca="1" si="21"/>
        <v>-1288412400.2511113</v>
      </c>
      <c r="EK11" s="16">
        <f t="shared" ca="1" si="22"/>
        <v>0</v>
      </c>
      <c r="EL11" s="32" t="str">
        <f>IF(VLOOKUP(BP11,Fundamentus!A:U,3,FALSE)&lt;15,"Bom",IF(VLOOKUP(BP11,Fundamentus!A:U,3,FALSE)&gt;15,"Ruim","n/a"))</f>
        <v>Bom</v>
      </c>
      <c r="EM11" s="28" t="str">
        <f>IF(VLOOKUP(BP11,Fundamentus!A:U,4,FALSE)&lt;1,"Baixo",IF(VLOOKUP(BP11,Fundamentus!A:U,4,FALSE)&lt;1.5,"Moderado",IF(VLOOKUP(BP11,Fundamentus!A:U,4,FALSE)&gt;1.5,"Alto","n/a")))</f>
        <v>Baixo</v>
      </c>
      <c r="EN11" s="17" t="str">
        <f>IF(VLOOKUP(BP11,Fundamentus!A:U,8,FALSE)&lt;0,"Risco elevado",IF(VLOOKUP(BP11,Fundamentus!A:U,8,FALSE)&lt;1,"Saudável",IF(VLOOKUP(BP11,Fundamentus!A:U,8,FALSE)&lt;3,"Estável",IF(VLOOKUP(BP11,Fundamentus!A:U,8,FALSE)&gt;3,"Alerta","n/a"))))</f>
        <v>Risco elevado</v>
      </c>
      <c r="EO11" s="28" t="str">
        <f t="shared" si="23"/>
        <v>Ruim</v>
      </c>
      <c r="EP11" s="17" t="str">
        <f>IF(VLOOKUP(BP11,Fundamentus!A:U,12,FALSE)&lt;2,"Subvalorizada",IF(VLOOKUP(BP11,Fundamentus!A:U,12,FALSE)&lt;6,"Muita barata",IF(VLOOKUP(BP11,Fundamentus!A:U,12,FALSE)&lt;6,"Barata",IF(VLOOKUP(BP11,Fundamentus!A:U,12,FALSE)&lt;8,"Atrativa",IF(VLOOKUP(BP11,Fundamentus!A:U,12,FALSE)&gt;8,"Supervalorizada","n/a")))))</f>
        <v>Subvalorizada</v>
      </c>
      <c r="ER11" s="17" t="str">
        <f>IF(VLOOKUP(BP11,Fundamentus!A:U,17,FALSE)&lt;0.1,"Fraco retorno",IF(VLOOKUP(BP11,Fundamentus!A:U,17,FALSE)&gt;0.1,"Bom retorno","n/a"))</f>
        <v>Bom retorno</v>
      </c>
      <c r="ES11" s="17" t="str">
        <f>IF(VLOOKUP(BP11,Fundamentus!A:U,16,FALSE)&lt;0.1,"Ineficiente",IF(VLOOKUP(BP11,Fundamentus!A:U,16,FALSE)&gt;0.1,"Eficiente","n/a"))</f>
        <v>Ineficiente</v>
      </c>
      <c r="ET11" s="33" t="str">
        <f>IF(VLOOKUP(BP11,Fundamentus!A:U,16,FALSE)&lt;0.1,"Oper. Ineficiente",IF(VLOOKUP(BP11,Fundamentus!A:U,16,FALSE)&gt;0.1,"Oper.Eficiente","n/a"))</f>
        <v>Oper. Ineficiente</v>
      </c>
      <c r="EU11" s="34">
        <f>VLOOKUP(BP11,Fundamentus!A:U,14,FALSE)</f>
        <v>-0.17660000000000001</v>
      </c>
      <c r="EV11" s="17" t="str">
        <f>IF(VLOOKUP(BP11,Fundamentus!A:U,21,FALSE)&lt;0,"Negativo",IF(VLOOKUP(BP11,Fundamentus!A:U,21,FALSE)&lt;0.05,"Fraco",IF(VLOOKUP(BP11,Fundamentus!A:U,21,FALSE)&lt;0.1,"Bom",IF(VLOOKUP(BP11,Fundamentus!A:U,21,FALSE)&gt;0.1,"Muito bom","n/a"))))</f>
        <v>Muito bom</v>
      </c>
      <c r="EX11" s="29" t="str">
        <f>IF(VLOOKUP(BP11,Fundamentus!A:U,15,FALSE)&gt;1,"Bom",IF(VLOOKUP(BP11,Fundamentus!A:U,15,FALSE)&lt;1,"Ruim","n/a"))</f>
        <v>Ruim</v>
      </c>
      <c r="EY11" s="17" t="str">
        <f>IF(VLOOKUP(BP11,Fundamentus!A:U,20,FALSE)&lt;0.5,"Baixa",IF(VLOOKUP(BP11,Fundamentus!A:U,20,FALSE)&lt;1,"Moderada",IF(VLOOKUP(BP11,Fundamentus!A:U,20,FALSE)&lt;2,"Alerta",IF(VLOOKUP(BP11,Fundamentus!A:U,20,FALSE)&gt;2,"Alta","n/a"))))</f>
        <v>Baixa</v>
      </c>
    </row>
    <row r="12" spans="1:155" s="2" customFormat="1" ht="11.25" x14ac:dyDescent="0.2">
      <c r="A12" s="4">
        <v>7.58</v>
      </c>
      <c r="B12" s="4">
        <v>8.09</v>
      </c>
      <c r="C12" s="4">
        <v>8.1199999999999992</v>
      </c>
      <c r="D12" s="4">
        <v>7.74</v>
      </c>
      <c r="E12" s="4">
        <v>7.1</v>
      </c>
      <c r="F12" s="4">
        <v>6.9</v>
      </c>
      <c r="G12" s="4">
        <v>7</v>
      </c>
      <c r="H12" s="4">
        <v>7</v>
      </c>
      <c r="I12" s="4">
        <v>7.28</v>
      </c>
      <c r="J12" s="4">
        <v>7.63</v>
      </c>
      <c r="K12" s="4">
        <v>7.7</v>
      </c>
      <c r="L12" s="4">
        <v>7.88</v>
      </c>
      <c r="M12" s="4">
        <v>7.6</v>
      </c>
      <c r="N12" s="4">
        <v>7.21</v>
      </c>
      <c r="O12" s="4">
        <v>7.44</v>
      </c>
      <c r="P12" s="4">
        <v>7.4</v>
      </c>
      <c r="Q12" s="4">
        <v>7.57</v>
      </c>
      <c r="R12" s="4">
        <v>7.12</v>
      </c>
      <c r="S12" s="4">
        <v>6.96</v>
      </c>
      <c r="T12" s="4">
        <v>6.42</v>
      </c>
      <c r="U12" s="4">
        <v>6.7</v>
      </c>
      <c r="V12" s="4">
        <v>6.26</v>
      </c>
      <c r="W12" s="4">
        <v>6.29</v>
      </c>
      <c r="X12" s="4">
        <v>6.57</v>
      </c>
      <c r="Y12" s="4">
        <v>6.38</v>
      </c>
      <c r="Z12" s="4">
        <v>6.6</v>
      </c>
      <c r="AA12" s="4">
        <v>7.62</v>
      </c>
      <c r="AB12" s="4">
        <v>7</v>
      </c>
      <c r="AC12" s="4">
        <v>6.64</v>
      </c>
      <c r="AD12" s="4">
        <v>6.45</v>
      </c>
      <c r="AE12" s="4">
        <v>6.19</v>
      </c>
      <c r="AF12" s="4">
        <v>6.17</v>
      </c>
      <c r="AG12" s="4">
        <v>5.7</v>
      </c>
      <c r="AH12" s="4">
        <v>5.54</v>
      </c>
      <c r="AI12" s="4">
        <v>5.9</v>
      </c>
      <c r="AJ12" s="4">
        <v>5.46</v>
      </c>
      <c r="AK12" s="4">
        <v>5.52</v>
      </c>
      <c r="AL12" s="4">
        <v>6.03</v>
      </c>
      <c r="AM12" s="4">
        <v>5.68</v>
      </c>
      <c r="AN12" s="4">
        <v>5.83</v>
      </c>
      <c r="AO12" s="4">
        <v>6.02</v>
      </c>
      <c r="AP12" s="4">
        <v>6.15</v>
      </c>
      <c r="AQ12" s="4">
        <v>6.05</v>
      </c>
      <c r="AR12" s="4">
        <v>5.57</v>
      </c>
      <c r="AS12" s="4">
        <v>5.69</v>
      </c>
      <c r="AT12" s="4">
        <v>6</v>
      </c>
      <c r="AU12" s="4">
        <v>5.8250000000000002</v>
      </c>
      <c r="AV12" s="4">
        <v>5.53</v>
      </c>
      <c r="AW12" s="4">
        <v>5.32</v>
      </c>
      <c r="AX12" s="4">
        <v>5.69</v>
      </c>
      <c r="AY12" s="12">
        <v>6.5</v>
      </c>
      <c r="AZ12" s="12">
        <v>6.31</v>
      </c>
      <c r="BA12" s="12">
        <v>6.12</v>
      </c>
      <c r="BB12" s="15">
        <v>5.32</v>
      </c>
      <c r="BC12" s="52">
        <v>5.4</v>
      </c>
      <c r="BD12" s="52">
        <v>5.3</v>
      </c>
      <c r="BE12" s="52">
        <v>5.4</v>
      </c>
      <c r="BF12" s="52">
        <v>5.47</v>
      </c>
      <c r="BG12" s="67">
        <v>5.07</v>
      </c>
      <c r="BH12" s="52">
        <v>4.9400000000000004</v>
      </c>
      <c r="BI12" s="52">
        <v>4.99</v>
      </c>
      <c r="BJ12" s="52">
        <v>4.9400000000000004</v>
      </c>
      <c r="BK12" s="52">
        <v>4.74</v>
      </c>
      <c r="BL12" s="52">
        <v>4.6900000000000004</v>
      </c>
      <c r="BM12" s="52">
        <v>4.7300000000000004</v>
      </c>
      <c r="BN12" s="52">
        <v>4.67</v>
      </c>
      <c r="BO12" s="52" cm="1">
        <f t="array" aca="1" ref="BO12" ca="1">_FV(EC12,"Preço")</f>
        <v>4.67</v>
      </c>
      <c r="BP12" s="69" t="s">
        <v>9</v>
      </c>
      <c r="BQ12" s="36" cm="1">
        <f t="array" aca="1" ref="BQ12" ca="1">_FV(EC12,"Média de volume",TRUE)</f>
        <v>43720</v>
      </c>
      <c r="BR12" s="36">
        <v>56800</v>
      </c>
      <c r="BS12" s="36" cm="1">
        <f t="array" aca="1" ref="BS12" ca="1">_FV(EC12,"Volume")</f>
        <v>56800</v>
      </c>
      <c r="BT12" s="24" cm="1">
        <f t="array" aca="1" ref="BT12" ca="1">_FV(EC12,"Beta")</f>
        <v>0.96150000000000002</v>
      </c>
      <c r="BU12" s="71" cm="1">
        <f t="array" aca="1" ref="BU12" ca="1">_FV(EC12,"Variação (%)",TRUE)</f>
        <v>-2.3012999999999999E-2</v>
      </c>
      <c r="BW12" s="17" cm="1">
        <f t="array" aca="1" ref="BW12" ca="1">_FV(EC12,"Baixo")</f>
        <v>4.67</v>
      </c>
      <c r="BX12" s="17" cm="1">
        <f t="array" aca="1" ref="BX12" ca="1">_FV(EC12,"Alto")</f>
        <v>4.8099999999999996</v>
      </c>
      <c r="BY12" s="24"/>
      <c r="BZ12" s="63">
        <f ca="1">SQRT(22.5*(BO12/VLOOKUP(BP12,Fundamentus!A:U,3,FALSE))*(BO12/VLOOKUP(BP12,Fundamentus!A:U,4,FALSE)))</f>
        <v>13.795091066093581</v>
      </c>
      <c r="CB12" s="62">
        <f t="shared" ca="1" si="24"/>
        <v>0</v>
      </c>
      <c r="CC12" s="8"/>
      <c r="CD12" s="61">
        <f t="shared" si="25"/>
        <v>4.67</v>
      </c>
      <c r="CE12" s="61">
        <f t="shared" si="26"/>
        <v>8.1199999999999992</v>
      </c>
      <c r="CF12" s="61">
        <f t="shared" si="27"/>
        <v>6.2834090909090881</v>
      </c>
      <c r="CG12" s="14"/>
      <c r="CH12" s="35">
        <f t="shared" si="1"/>
        <v>4.4720855111714064</v>
      </c>
      <c r="CI12" s="15">
        <f t="shared" si="28"/>
        <v>4.6650000000000063</v>
      </c>
      <c r="CJ12" s="35">
        <f t="shared" si="2"/>
        <v>4.8579144888286061</v>
      </c>
      <c r="CL12" s="14"/>
      <c r="CM12" s="17">
        <f t="shared" si="3"/>
        <v>7.0000000000002061E-2</v>
      </c>
      <c r="CN12" s="17">
        <f t="shared" si="4"/>
        <v>2.370000000000001</v>
      </c>
      <c r="CO12" s="17">
        <f t="shared" si="5"/>
        <v>3.5200000000000014</v>
      </c>
      <c r="CP12" s="38">
        <f t="shared" si="29"/>
        <v>5.82</v>
      </c>
      <c r="CQ12" s="17">
        <f t="shared" si="6"/>
        <v>6.9700000000000006</v>
      </c>
      <c r="CR12" s="17">
        <f t="shared" si="7"/>
        <v>9.27</v>
      </c>
      <c r="CS12" s="17">
        <f t="shared" si="8"/>
        <v>10.42</v>
      </c>
      <c r="CT12" s="2" cm="1">
        <f t="array" aca="1" ref="CT12" ca="1">MAX(_xlfn._xlws.FILTER(CM12:CS12,CM12:CS12&lt;BO12))</f>
        <v>3.5200000000000014</v>
      </c>
      <c r="CU12" s="2" cm="1">
        <f t="array" aca="1" ref="CU12" ca="1">MIN(_xlfn._xlws.FILTER($CM12:$CS12,$CM12:$CS12&gt;BO12))</f>
        <v>5.82</v>
      </c>
      <c r="CV12" s="16">
        <f t="shared" ca="1" si="30"/>
        <v>0.65340909090909038</v>
      </c>
      <c r="CW12" s="20">
        <f t="shared" ca="1" si="31"/>
        <v>-0.32670454545454519</v>
      </c>
      <c r="CX12" s="20">
        <f t="shared" ca="1" si="32"/>
        <v>-0.21780303030303014</v>
      </c>
      <c r="CY12" s="20">
        <f t="shared" ca="1" si="33"/>
        <v>-0.13068181818181807</v>
      </c>
      <c r="CZ12" s="20">
        <f t="shared" ca="1" si="34"/>
        <v>-7.2601010101010041E-2</v>
      </c>
      <c r="DA12" s="20">
        <f t="shared" ca="1" si="40"/>
        <v>-3.8435828877005314E-2</v>
      </c>
      <c r="DB12" s="20">
        <f t="shared" ca="1" si="41"/>
        <v>-1.9800275482093649E-2</v>
      </c>
      <c r="DC12" s="20">
        <f t="shared" ca="1" si="42"/>
        <v>-1.0052447552447545E-2</v>
      </c>
      <c r="DD12" s="21">
        <f t="shared" ca="1" si="43"/>
        <v>1.0052447552447545E-2</v>
      </c>
      <c r="DE12" s="21">
        <f t="shared" ca="1" si="44"/>
        <v>1.9800275482093649E-2</v>
      </c>
      <c r="DF12" s="21">
        <f t="shared" ca="1" si="45"/>
        <v>3.8435828877005314E-2</v>
      </c>
      <c r="DG12" s="21">
        <f t="shared" ca="1" si="35"/>
        <v>7.2601010101010041E-2</v>
      </c>
      <c r="DH12" s="21">
        <f t="shared" ca="1" si="36"/>
        <v>0.13068181818181807</v>
      </c>
      <c r="DI12" s="21">
        <f t="shared" ca="1" si="37"/>
        <v>0.21780303030303014</v>
      </c>
      <c r="DJ12" s="21">
        <f t="shared" ca="1" si="38"/>
        <v>0.32670454545454519</v>
      </c>
      <c r="DL12" s="16" cm="1">
        <f t="array" aca="1" ref="DL12" ca="1">MAX(_xlfn._xlws.FILTER(CW12:DJ12,CW12:DJ12&lt;BU12))</f>
        <v>-3.8435828877005314E-2</v>
      </c>
      <c r="DM12" s="16" cm="1">
        <f t="array" aca="1" ref="DM12" ca="1">MIN(_xlfn._xlws.FILTER(CW12:DJ12,CW12:DJ12&gt;BU12))</f>
        <v>-1.9800275482093649E-2</v>
      </c>
      <c r="DN12" s="2" cm="1">
        <f t="array" aca="1" ref="DN12" ca="1">_FV(EC12,"Fechamento anterior",TRUE)</f>
        <v>4.78</v>
      </c>
      <c r="DO12" s="28">
        <f t="shared" ca="1" si="15"/>
        <v>0.82762643259959368</v>
      </c>
      <c r="DP12" s="15">
        <f t="shared" ca="1" si="16"/>
        <v>4.5962767379679148</v>
      </c>
      <c r="DQ12" s="15">
        <f t="shared" ca="1" si="17"/>
        <v>4.6853546831955928</v>
      </c>
      <c r="DR12" s="9"/>
      <c r="DS12" s="9"/>
      <c r="DT12" s="9"/>
      <c r="DU12" s="89">
        <v>1.8388216530631388E-2</v>
      </c>
      <c r="DV12" s="89">
        <f t="shared" ca="1" si="18"/>
        <v>1.8635553394911665E-2</v>
      </c>
      <c r="DW12" s="72">
        <f t="shared" ca="1" si="19"/>
        <v>2.5918219156862099E-2</v>
      </c>
      <c r="DX12" s="37"/>
      <c r="DY12" s="35">
        <f t="shared" si="39"/>
        <v>9.645724441430005E-2</v>
      </c>
      <c r="DZ12" s="56"/>
      <c r="EA12" s="56"/>
      <c r="EC12" s="2" t="e" vm="12">
        <v>#VALUE!</v>
      </c>
      <c r="EE12" s="10" cm="1">
        <f t="array" aca="1" ref="EE12" ca="1">_FV(EC12,"Ações em circulação",TRUE)</f>
        <v>50602840</v>
      </c>
      <c r="EF12" s="18">
        <f>VLOOKUP(BP12,Fundamentus!A:U,5,FALSE)</f>
        <v>0.106</v>
      </c>
      <c r="EG12" s="2">
        <f t="shared" ca="1" si="20"/>
        <v>2229389271.698113</v>
      </c>
      <c r="EH12" s="17">
        <v>24746220.915849056</v>
      </c>
      <c r="EI12" s="17">
        <f t="shared" ca="1" si="21"/>
        <v>24746220.915849056</v>
      </c>
      <c r="EK12" s="16">
        <f t="shared" ca="1" si="22"/>
        <v>0</v>
      </c>
      <c r="EL12" s="32" t="str">
        <f>IF(VLOOKUP(BP12,Fundamentus!A:U,3,FALSE)&lt;15,"Bom",IF(VLOOKUP(BP12,Fundamentus!A:U,3,FALSE)&gt;15,"Ruim","n/a"))</f>
        <v>Bom</v>
      </c>
      <c r="EM12" s="28" t="str">
        <f>IF(VLOOKUP(BP12,Fundamentus!A:U,4,FALSE)&lt;1,"Baixo",IF(VLOOKUP(BP12,Fundamentus!A:U,4,FALSE)&lt;1.5,"Moderado",IF(VLOOKUP(BP12,Fundamentus!A:U,4,FALSE)&gt;1.5,"Alto","n/a")))</f>
        <v>Baixo</v>
      </c>
      <c r="EN12" s="17" t="str">
        <f>IF(VLOOKUP(BP12,Fundamentus!A:U,8,FALSE)&lt;0,"Risco elevado",IF(VLOOKUP(BP12,Fundamentus!A:U,8,FALSE)&lt;1,"Saudável",IF(VLOOKUP(BP12,Fundamentus!A:U,8,FALSE)&lt;3,"Estável",IF(VLOOKUP(BP12,Fundamentus!A:U,8,FALSE)&gt;3,"Alerta","n/a"))))</f>
        <v>Alerta</v>
      </c>
      <c r="EO12" s="28" t="str">
        <f t="shared" si="23"/>
        <v>Ruim</v>
      </c>
      <c r="EP12" s="17" t="str">
        <f>IF(VLOOKUP(BP12,Fundamentus!A:U,12,FALSE)&lt;2,"Subvalorizada",IF(VLOOKUP(BP12,Fundamentus!A:U,12,FALSE)&lt;6,"Muita barata",IF(VLOOKUP(BP12,Fundamentus!A:U,12,FALSE)&lt;6,"Barata",IF(VLOOKUP(BP12,Fundamentus!A:U,12,FALSE)&lt;8,"Atrativa",IF(VLOOKUP(BP12,Fundamentus!A:U,12,FALSE)&gt;8,"Supervalorizada","n/a")))))</f>
        <v>Subvalorizada</v>
      </c>
      <c r="ER12" s="17" t="str">
        <f>IF(VLOOKUP(BP12,Fundamentus!A:U,17,FALSE)&lt;0.1,"Fraco retorno",IF(VLOOKUP(BP12,Fundamentus!A:U,17,FALSE)&gt;0.1,"Bom retorno","n/a"))</f>
        <v>Fraco retorno</v>
      </c>
      <c r="ES12" s="17" t="str">
        <f>IF(VLOOKUP(BP12,Fundamentus!A:U,16,FALSE)&lt;0.1,"Ineficiente",IF(VLOOKUP(BP12,Fundamentus!A:U,16,FALSE)&gt;0.1,"Eficiente","n/a"))</f>
        <v>Ineficiente</v>
      </c>
      <c r="ET12" s="33" t="str">
        <f>IF(VLOOKUP(BP12,Fundamentus!A:U,16,FALSE)&lt;0.1,"Oper. Ineficiente",IF(VLOOKUP(BP12,Fundamentus!A:U,16,FALSE)&gt;0.1,"Oper.Eficiente","n/a"))</f>
        <v>Oper. Ineficiente</v>
      </c>
      <c r="EU12" s="34">
        <f>VLOOKUP(BP12,Fundamentus!A:U,14,FALSE)</f>
        <v>1.11E-2</v>
      </c>
      <c r="EV12" s="17" t="str">
        <f>IF(VLOOKUP(BP12,Fundamentus!A:U,21,FALSE)&lt;0,"Negativo",IF(VLOOKUP(BP12,Fundamentus!A:U,21,FALSE)&lt;0.05,"Fraco",IF(VLOOKUP(BP12,Fundamentus!A:U,21,FALSE)&lt;0.1,"Bom",IF(VLOOKUP(BP12,Fundamentus!A:U,21,FALSE)&gt;0.1,"Muito bom","n/a"))))</f>
        <v>Muito bom</v>
      </c>
      <c r="EX12" s="29" t="str">
        <f>IF(VLOOKUP(BP12,Fundamentus!A:U,15,FALSE)&gt;1,"Bom",IF(VLOOKUP(BP12,Fundamentus!A:U,15,FALSE)&lt;1,"Ruim","n/a"))</f>
        <v>Bom</v>
      </c>
      <c r="EY12" s="17" t="str">
        <f>IF(VLOOKUP(BP12,Fundamentus!A:U,20,FALSE)&lt;0.5,"Baixa",IF(VLOOKUP(BP12,Fundamentus!A:U,20,FALSE)&lt;1,"Moderada",IF(VLOOKUP(BP12,Fundamentus!A:U,20,FALSE)&lt;2,"Alerta",IF(VLOOKUP(BP12,Fundamentus!A:U,20,FALSE)&gt;2,"Alta","n/a"))))</f>
        <v>Baixa</v>
      </c>
    </row>
    <row r="13" spans="1:155" s="2" customFormat="1" ht="11.25" x14ac:dyDescent="0.2">
      <c r="A13" s="4">
        <v>18.309999999999999</v>
      </c>
      <c r="B13" s="4">
        <v>18.5</v>
      </c>
      <c r="C13" s="4">
        <v>18.41</v>
      </c>
      <c r="D13" s="4">
        <v>18.29</v>
      </c>
      <c r="E13" s="4">
        <v>17.84</v>
      </c>
      <c r="F13" s="4">
        <v>17.25</v>
      </c>
      <c r="G13" s="4">
        <v>17.63</v>
      </c>
      <c r="H13" s="4">
        <v>17.46</v>
      </c>
      <c r="I13" s="4">
        <v>17.47</v>
      </c>
      <c r="J13" s="4">
        <v>18.8</v>
      </c>
      <c r="K13" s="4">
        <v>19.11</v>
      </c>
      <c r="L13" s="4">
        <v>19.350000000000001</v>
      </c>
      <c r="M13" s="4">
        <v>18.32</v>
      </c>
      <c r="N13" s="4">
        <v>17.739999999999998</v>
      </c>
      <c r="O13" s="4">
        <v>18.37</v>
      </c>
      <c r="P13" s="4">
        <v>17.72</v>
      </c>
      <c r="Q13" s="4">
        <v>17.899999999999999</v>
      </c>
      <c r="R13" s="4">
        <v>17.66</v>
      </c>
      <c r="S13" s="4">
        <v>17.36</v>
      </c>
      <c r="T13" s="4">
        <v>17.21</v>
      </c>
      <c r="U13" s="4">
        <v>17</v>
      </c>
      <c r="V13" s="4">
        <v>18.66</v>
      </c>
      <c r="W13" s="4">
        <v>17.93</v>
      </c>
      <c r="X13" s="4">
        <v>17.100000000000001</v>
      </c>
      <c r="Y13" s="4">
        <v>17.260000000000002</v>
      </c>
      <c r="Z13" s="4">
        <v>17.22</v>
      </c>
      <c r="AA13" s="4">
        <v>17.3</v>
      </c>
      <c r="AB13" s="4">
        <v>17.350000000000001</v>
      </c>
      <c r="AC13" s="4">
        <v>16.98</v>
      </c>
      <c r="AD13" s="4">
        <v>16.84</v>
      </c>
      <c r="AE13" s="4">
        <v>17.41</v>
      </c>
      <c r="AF13" s="4">
        <v>18.57</v>
      </c>
      <c r="AG13" s="4">
        <v>19.170000000000002</v>
      </c>
      <c r="AH13" s="4">
        <v>17.93</v>
      </c>
      <c r="AI13" s="4">
        <v>17.68</v>
      </c>
      <c r="AJ13" s="4">
        <v>17.02</v>
      </c>
      <c r="AK13" s="4">
        <v>17.190000000000001</v>
      </c>
      <c r="AL13" s="4">
        <v>18.010000000000002</v>
      </c>
      <c r="AM13" s="4">
        <v>17.829999999999998</v>
      </c>
      <c r="AN13" s="4">
        <v>17.36</v>
      </c>
      <c r="AO13" s="4">
        <v>18.16</v>
      </c>
      <c r="AP13" s="4">
        <v>18.829999999999998</v>
      </c>
      <c r="AQ13" s="4">
        <v>18.34</v>
      </c>
      <c r="AR13" s="4">
        <v>18.04</v>
      </c>
      <c r="AS13" s="4">
        <v>19.18</v>
      </c>
      <c r="AT13" s="4">
        <v>18.62</v>
      </c>
      <c r="AU13" s="4">
        <v>18.664999999999999</v>
      </c>
      <c r="AV13" s="4">
        <v>18.43</v>
      </c>
      <c r="AW13" s="4">
        <v>18.53</v>
      </c>
      <c r="AX13" s="4">
        <v>20.12</v>
      </c>
      <c r="AY13" s="12">
        <v>20.149999999999999</v>
      </c>
      <c r="AZ13" s="12">
        <v>20.010000000000002</v>
      </c>
      <c r="BA13" s="12">
        <v>19.79</v>
      </c>
      <c r="BB13" s="15">
        <v>19.329999999999998</v>
      </c>
      <c r="BC13" s="52">
        <v>19.04</v>
      </c>
      <c r="BD13" s="52">
        <v>18.88</v>
      </c>
      <c r="BE13" s="52">
        <v>18.89</v>
      </c>
      <c r="BF13" s="52">
        <v>18.91</v>
      </c>
      <c r="BG13" s="67">
        <v>18.489999999999998</v>
      </c>
      <c r="BH13" s="52">
        <v>18.45</v>
      </c>
      <c r="BI13" s="52">
        <v>17.91</v>
      </c>
      <c r="BJ13" s="52">
        <v>18.100000000000001</v>
      </c>
      <c r="BK13" s="52">
        <v>18.2</v>
      </c>
      <c r="BL13" s="52">
        <v>18.2</v>
      </c>
      <c r="BM13" s="52">
        <v>17.989999999999998</v>
      </c>
      <c r="BN13" s="52">
        <v>18.14</v>
      </c>
      <c r="BO13" s="52" cm="1">
        <f t="array" aca="1" ref="BO13" ca="1">_FV(EC13,"Preço")</f>
        <v>18.14</v>
      </c>
      <c r="BP13" s="69" t="s">
        <v>10</v>
      </c>
      <c r="BQ13" s="36" cm="1">
        <f t="array" aca="1" ref="BQ13" ca="1">_FV(EC13,"Média de volume",TRUE)</f>
        <v>1984710</v>
      </c>
      <c r="BR13" s="36">
        <v>1797600</v>
      </c>
      <c r="BS13" s="36" cm="1">
        <f t="array" aca="1" ref="BS13" ca="1">_FV(EC13,"Volume")</f>
        <v>1797600</v>
      </c>
      <c r="BT13" s="24" cm="1">
        <f t="array" aca="1" ref="BT13" ca="1">_FV(EC13,"Beta")</f>
        <v>0.49590000000000001</v>
      </c>
      <c r="BU13" s="71" cm="1">
        <f t="array" aca="1" ref="BU13" ca="1">_FV(EC13,"Variação (%)",TRUE)</f>
        <v>-1.0366E-2</v>
      </c>
      <c r="BW13" s="17" cm="1">
        <f t="array" aca="1" ref="BW13" ca="1">_FV(EC13,"Baixo")</f>
        <v>18.14</v>
      </c>
      <c r="BX13" s="17" cm="1">
        <f t="array" aca="1" ref="BX13" ca="1">_FV(EC13,"Alto")</f>
        <v>18.489999999999998</v>
      </c>
      <c r="BY13" s="24"/>
      <c r="BZ13" s="63">
        <f ca="1">SQRT(22.5*(BO13/VLOOKUP(BP13,Fundamentus!A:U,3,FALSE))*(BO13/VLOOKUP(BP13,Fundamentus!A:U,4,FALSE)))</f>
        <v>20.593966605176728</v>
      </c>
      <c r="CB13" s="62">
        <f t="shared" ca="1" si="24"/>
        <v>0</v>
      </c>
      <c r="CC13" s="8"/>
      <c r="CD13" s="61">
        <f t="shared" si="25"/>
        <v>16.84</v>
      </c>
      <c r="CE13" s="61">
        <f t="shared" si="26"/>
        <v>20.149999999999999</v>
      </c>
      <c r="CF13" s="61">
        <f t="shared" si="27"/>
        <v>18.180378787878791</v>
      </c>
      <c r="CG13" s="14"/>
      <c r="CH13" s="35">
        <f t="shared" si="1"/>
        <v>17.87925662132854</v>
      </c>
      <c r="CI13" s="15">
        <f t="shared" si="28"/>
        <v>18.034999999999997</v>
      </c>
      <c r="CJ13" s="35">
        <f t="shared" si="2"/>
        <v>18.190743378671453</v>
      </c>
      <c r="CL13" s="14"/>
      <c r="CM13" s="17">
        <f t="shared" si="3"/>
        <v>13.293333333333333</v>
      </c>
      <c r="CN13" s="17">
        <f t="shared" si="4"/>
        <v>15.066666666666666</v>
      </c>
      <c r="CO13" s="17">
        <f t="shared" si="5"/>
        <v>16.603333333333332</v>
      </c>
      <c r="CP13" s="38">
        <f t="shared" si="29"/>
        <v>18.376666666666665</v>
      </c>
      <c r="CQ13" s="17">
        <f t="shared" si="6"/>
        <v>19.91333333333333</v>
      </c>
      <c r="CR13" s="17">
        <f t="shared" si="7"/>
        <v>21.686666666666664</v>
      </c>
      <c r="CS13" s="17">
        <f t="shared" si="8"/>
        <v>23.223333333333329</v>
      </c>
      <c r="CT13" s="2" cm="1">
        <f t="array" aca="1" ref="CT13" ca="1">MAX(_xlfn._xlws.FILTER(CM13:CS13,CM13:CS13&lt;BO13))</f>
        <v>16.603333333333332</v>
      </c>
      <c r="CU13" s="2" cm="1">
        <f t="array" aca="1" ref="CU13" ca="1">MIN(_xlfn._xlws.FILTER($CM13:$CS13,$CM13:$CS13&gt;BO13))</f>
        <v>18.376666666666665</v>
      </c>
      <c r="CV13" s="16">
        <f t="shared" ca="1" si="30"/>
        <v>0.10680586227665123</v>
      </c>
      <c r="CW13" s="20">
        <f t="shared" ca="1" si="31"/>
        <v>-5.3402931138325616E-2</v>
      </c>
      <c r="CX13" s="20">
        <f t="shared" ca="1" si="32"/>
        <v>-3.5601954092217079E-2</v>
      </c>
      <c r="CY13" s="20">
        <f t="shared" ca="1" si="33"/>
        <v>-2.1361172455330247E-2</v>
      </c>
      <c r="CZ13" s="20">
        <f t="shared" ca="1" si="34"/>
        <v>-1.1867318030739026E-2</v>
      </c>
      <c r="DA13" s="20">
        <f t="shared" ca="1" si="40"/>
        <v>-6.2826977809794845E-3</v>
      </c>
      <c r="DB13" s="20">
        <f t="shared" ca="1" si="41"/>
        <v>-3.2365412811106433E-3</v>
      </c>
      <c r="DC13" s="20">
        <f t="shared" ca="1" si="42"/>
        <v>-1.6431671119484805E-3</v>
      </c>
      <c r="DD13" s="21">
        <f t="shared" ca="1" si="43"/>
        <v>1.6431671119484805E-3</v>
      </c>
      <c r="DE13" s="21">
        <f t="shared" ca="1" si="44"/>
        <v>3.2365412811106433E-3</v>
      </c>
      <c r="DF13" s="21">
        <f t="shared" ca="1" si="45"/>
        <v>6.2826977809794845E-3</v>
      </c>
      <c r="DG13" s="21">
        <f t="shared" ca="1" si="35"/>
        <v>1.1867318030739026E-2</v>
      </c>
      <c r="DH13" s="21">
        <f t="shared" ca="1" si="36"/>
        <v>2.1361172455330247E-2</v>
      </c>
      <c r="DI13" s="21">
        <f t="shared" ca="1" si="37"/>
        <v>3.5601954092217079E-2</v>
      </c>
      <c r="DJ13" s="21">
        <f t="shared" ca="1" si="38"/>
        <v>5.3402931138325616E-2</v>
      </c>
      <c r="DL13" s="16" cm="1">
        <f t="array" aca="1" ref="DL13" ca="1">MAX(_xlfn._xlws.FILTER(CW13:DJ13,CW13:DJ13&lt;BU13))</f>
        <v>-1.1867318030739026E-2</v>
      </c>
      <c r="DM13" s="16" cm="1">
        <f t="array" aca="1" ref="DM13" ca="1">MIN(_xlfn._xlws.FILTER(CW13:DJ13,CW13:DJ13&gt;BU13))</f>
        <v>-6.2826977809794845E-3</v>
      </c>
      <c r="DN13" s="2" cm="1">
        <f t="array" aca="1" ref="DN13" ca="1">_FV(EC13,"Fechamento anterior",TRUE)</f>
        <v>18.329999999999998</v>
      </c>
      <c r="DO13" s="28">
        <f t="shared" ca="1" si="15"/>
        <v>0.26891658873045099</v>
      </c>
      <c r="DP13" s="15">
        <f t="shared" ca="1" si="16"/>
        <v>18.11247206049655</v>
      </c>
      <c r="DQ13" s="15">
        <f t="shared" ca="1" si="17"/>
        <v>18.214838149674645</v>
      </c>
      <c r="DR13" s="9"/>
      <c r="DS13" s="9"/>
      <c r="DT13" s="9"/>
      <c r="DU13" s="89">
        <v>1.5716175139367607E-3</v>
      </c>
      <c r="DV13" s="89">
        <f t="shared" ca="1" si="18"/>
        <v>5.5846202497595414E-3</v>
      </c>
      <c r="DW13" s="72">
        <f t="shared" ca="1" si="19"/>
        <v>0.67418596473050474</v>
      </c>
      <c r="DX13" s="37"/>
      <c r="DY13" s="35">
        <f t="shared" si="39"/>
        <v>7.7871689335727343E-2</v>
      </c>
      <c r="DZ13" s="56"/>
      <c r="EA13" s="56"/>
      <c r="EC13" s="2" t="e" vm="13">
        <v>#VALUE!</v>
      </c>
      <c r="EE13" s="10" cm="1">
        <f t="array" aca="1" ref="EE13" ca="1">_FV(EC13,"Ações em circulação",TRUE)</f>
        <v>443329700</v>
      </c>
      <c r="EF13" s="18">
        <f>VLOOKUP(BP13,Fundamentus!A:U,5,FALSE)</f>
        <v>0.92500000000000004</v>
      </c>
      <c r="EG13" s="2">
        <f t="shared" ca="1" si="20"/>
        <v>8694054873.5135136</v>
      </c>
      <c r="EH13" s="17">
        <v>767685045.33124328</v>
      </c>
      <c r="EI13" s="17">
        <f t="shared" ca="1" si="21"/>
        <v>767685045.33124328</v>
      </c>
      <c r="EK13" s="16">
        <f t="shared" ca="1" si="22"/>
        <v>0</v>
      </c>
      <c r="EL13" s="32" t="str">
        <f>IF(VLOOKUP(BP13,Fundamentus!A:U,3,FALSE)&lt;15,"Bom",IF(VLOOKUP(BP13,Fundamentus!A:U,3,FALSE)&gt;15,"Ruim","n/a"))</f>
        <v>Bom</v>
      </c>
      <c r="EM13" s="28" t="str">
        <f>IF(VLOOKUP(BP13,Fundamentus!A:U,4,FALSE)&lt;1,"Baixo",IF(VLOOKUP(BP13,Fundamentus!A:U,4,FALSE)&lt;1.5,"Moderado",IF(VLOOKUP(BP13,Fundamentus!A:U,4,FALSE)&gt;1.5,"Alto","n/a")))</f>
        <v>Alto</v>
      </c>
      <c r="EN13" s="17" t="str">
        <f>IF(VLOOKUP(BP13,Fundamentus!A:U,8,FALSE)&lt;0,"Risco elevado",IF(VLOOKUP(BP13,Fundamentus!A:U,8,FALSE)&lt;1,"Saudável",IF(VLOOKUP(BP13,Fundamentus!A:U,8,FALSE)&lt;3,"Estável",IF(VLOOKUP(BP13,Fundamentus!A:U,8,FALSE)&gt;3,"Alerta","n/a"))))</f>
        <v>Alerta</v>
      </c>
      <c r="EO13" s="28" t="str">
        <f t="shared" si="23"/>
        <v>Ruim</v>
      </c>
      <c r="EP13" s="17" t="str">
        <f>IF(VLOOKUP(BP13,Fundamentus!A:U,12,FALSE)&lt;2,"Subvalorizada",IF(VLOOKUP(BP13,Fundamentus!A:U,12,FALSE)&lt;6,"Muita barata",IF(VLOOKUP(BP13,Fundamentus!A:U,12,FALSE)&lt;6,"Barata",IF(VLOOKUP(BP13,Fundamentus!A:U,12,FALSE)&lt;8,"Atrativa",IF(VLOOKUP(BP13,Fundamentus!A:U,12,FALSE)&gt;8,"Supervalorizada","n/a")))))</f>
        <v>Muita barata</v>
      </c>
      <c r="ER13" s="17" t="str">
        <f>IF(VLOOKUP(BP13,Fundamentus!A:U,17,FALSE)&lt;0.1,"Fraco retorno",IF(VLOOKUP(BP13,Fundamentus!A:U,17,FALSE)&gt;0.1,"Bom retorno","n/a"))</f>
        <v>Bom retorno</v>
      </c>
      <c r="ES13" s="17" t="str">
        <f>IF(VLOOKUP(BP13,Fundamentus!A:U,16,FALSE)&lt;0.1,"Ineficiente",IF(VLOOKUP(BP13,Fundamentus!A:U,16,FALSE)&gt;0.1,"Eficiente","n/a"))</f>
        <v>Eficiente</v>
      </c>
      <c r="ET13" s="33" t="str">
        <f>IF(VLOOKUP(BP13,Fundamentus!A:U,16,FALSE)&lt;0.1,"Oper. Ineficiente",IF(VLOOKUP(BP13,Fundamentus!A:U,16,FALSE)&gt;0.1,"Oper.Eficiente","n/a"))</f>
        <v>Oper.Eficiente</v>
      </c>
      <c r="EU13" s="34">
        <f>VLOOKUP(BP13,Fundamentus!A:U,14,FALSE)</f>
        <v>8.8300000000000003E-2</v>
      </c>
      <c r="EV13" s="17" t="str">
        <f>IF(VLOOKUP(BP13,Fundamentus!A:U,21,FALSE)&lt;0,"Negativo",IF(VLOOKUP(BP13,Fundamentus!A:U,21,FALSE)&lt;0.05,"Fraco",IF(VLOOKUP(BP13,Fundamentus!A:U,21,FALSE)&lt;0.1,"Bom",IF(VLOOKUP(BP13,Fundamentus!A:U,21,FALSE)&gt;0.1,"Muito bom","n/a"))))</f>
        <v>Muito bom</v>
      </c>
      <c r="EX13" s="29" t="str">
        <f>IF(VLOOKUP(BP13,Fundamentus!A:U,15,FALSE)&gt;1,"Bom",IF(VLOOKUP(BP13,Fundamentus!A:U,15,FALSE)&lt;1,"Ruim","n/a"))</f>
        <v>Bom</v>
      </c>
      <c r="EY13" s="17" t="str">
        <f>IF(VLOOKUP(BP13,Fundamentus!A:U,20,FALSE)&lt;0.5,"Baixa",IF(VLOOKUP(BP13,Fundamentus!A:U,20,FALSE)&lt;1,"Moderada",IF(VLOOKUP(BP13,Fundamentus!A:U,20,FALSE)&lt;2,"Alerta",IF(VLOOKUP(BP13,Fundamentus!A:U,20,FALSE)&gt;2,"Alta","n/a"))))</f>
        <v>Alerta</v>
      </c>
    </row>
    <row r="14" spans="1:155" s="2" customFormat="1" ht="11.25" x14ac:dyDescent="0.2">
      <c r="A14" s="4">
        <v>6.75</v>
      </c>
      <c r="B14" s="4">
        <v>6.79</v>
      </c>
      <c r="C14" s="4">
        <v>6.63</v>
      </c>
      <c r="D14" s="4">
        <v>6.29</v>
      </c>
      <c r="E14" s="4">
        <v>6.15</v>
      </c>
      <c r="F14" s="4">
        <v>6.5</v>
      </c>
      <c r="G14" s="4">
        <v>6.52</v>
      </c>
      <c r="H14" s="4">
        <v>6.5</v>
      </c>
      <c r="I14" s="4">
        <v>6.46</v>
      </c>
      <c r="J14" s="4">
        <v>6.6</v>
      </c>
      <c r="K14" s="4">
        <v>6.75</v>
      </c>
      <c r="L14" s="4">
        <v>6.42</v>
      </c>
      <c r="M14" s="4">
        <v>6.6</v>
      </c>
      <c r="N14" s="4">
        <v>6.47</v>
      </c>
      <c r="O14" s="4">
        <v>6.7</v>
      </c>
      <c r="P14" s="4">
        <v>6.64</v>
      </c>
      <c r="Q14" s="4">
        <v>6.28</v>
      </c>
      <c r="R14" s="4">
        <v>6.47</v>
      </c>
      <c r="S14" s="4">
        <v>6.9</v>
      </c>
      <c r="T14" s="4">
        <v>7</v>
      </c>
      <c r="U14" s="4">
        <v>6.78</v>
      </c>
      <c r="V14" s="4">
        <v>6.78</v>
      </c>
      <c r="W14" s="4">
        <v>6.99</v>
      </c>
      <c r="X14" s="4">
        <v>6.85</v>
      </c>
      <c r="Y14" s="4">
        <v>6.45</v>
      </c>
      <c r="Z14" s="4">
        <v>6.37</v>
      </c>
      <c r="AA14" s="4">
        <v>5.98</v>
      </c>
      <c r="AB14" s="4">
        <v>6.16</v>
      </c>
      <c r="AC14" s="4">
        <v>6.15</v>
      </c>
      <c r="AD14" s="4">
        <v>6.08</v>
      </c>
      <c r="AE14" s="4">
        <v>5.52</v>
      </c>
      <c r="AF14" s="4">
        <v>5.56</v>
      </c>
      <c r="AG14" s="4">
        <v>5.59</v>
      </c>
      <c r="AH14" s="4">
        <v>5.36</v>
      </c>
      <c r="AI14" s="4">
        <v>5.35</v>
      </c>
      <c r="AJ14" s="4">
        <v>5.27</v>
      </c>
      <c r="AK14" s="4">
        <v>5.26</v>
      </c>
      <c r="AL14" s="4">
        <v>5.05</v>
      </c>
      <c r="AM14" s="4">
        <v>5.6</v>
      </c>
      <c r="AN14" s="4">
        <v>5.5</v>
      </c>
      <c r="AO14" s="4">
        <v>5.31</v>
      </c>
      <c r="AP14" s="4">
        <v>5.76</v>
      </c>
      <c r="AQ14" s="4">
        <v>5.68</v>
      </c>
      <c r="AR14" s="4">
        <v>5.51</v>
      </c>
      <c r="AS14" s="4">
        <v>5.51</v>
      </c>
      <c r="AT14" s="4">
        <v>5.4</v>
      </c>
      <c r="AU14" s="4">
        <v>5.68</v>
      </c>
      <c r="AV14" s="4">
        <v>5.69</v>
      </c>
      <c r="AW14" s="4">
        <v>5.16</v>
      </c>
      <c r="AX14" s="4">
        <v>5.35</v>
      </c>
      <c r="AY14" s="12">
        <v>5.3</v>
      </c>
      <c r="AZ14" s="12">
        <v>5.37</v>
      </c>
      <c r="BA14" s="12">
        <v>5.42</v>
      </c>
      <c r="BB14" s="15">
        <v>5.51</v>
      </c>
      <c r="BC14" s="52">
        <v>5.81</v>
      </c>
      <c r="BD14" s="52">
        <v>5.88</v>
      </c>
      <c r="BE14" s="52">
        <v>5.83</v>
      </c>
      <c r="BF14" s="52">
        <v>6.25</v>
      </c>
      <c r="BG14" s="67">
        <v>6.3</v>
      </c>
      <c r="BH14" s="52">
        <v>6.42</v>
      </c>
      <c r="BI14" s="52">
        <v>6.85</v>
      </c>
      <c r="BJ14" s="52">
        <v>7</v>
      </c>
      <c r="BK14" s="52">
        <v>6.82</v>
      </c>
      <c r="BL14" s="52">
        <v>6.42</v>
      </c>
      <c r="BM14" s="52">
        <v>6.4</v>
      </c>
      <c r="BN14" s="52">
        <v>6.1</v>
      </c>
      <c r="BO14" s="52" cm="1">
        <f t="array" aca="1" ref="BO14" ca="1">_FV(EC14,"Preço")</f>
        <v>6.1</v>
      </c>
      <c r="BP14" s="69" t="s">
        <v>123</v>
      </c>
      <c r="BQ14" s="36" cm="1">
        <f t="array" aca="1" ref="BQ14" ca="1">_FV(EC14,"Média de volume",TRUE)</f>
        <v>457490</v>
      </c>
      <c r="BR14" s="36">
        <v>706700</v>
      </c>
      <c r="BS14" s="36" cm="1">
        <f t="array" aca="1" ref="BS14" ca="1">_FV(EC14,"Volume")</f>
        <v>706700</v>
      </c>
      <c r="BT14" s="24" cm="1">
        <f t="array" aca="1" ref="BT14" ca="1">_FV(EC14,"Beta")</f>
        <v>1.2746999999999999</v>
      </c>
      <c r="BU14" s="71" cm="1">
        <f t="array" aca="1" ref="BU14" ca="1">_FV(EC14,"Variação (%)",TRUE)</f>
        <v>1.6420000000000002E-3</v>
      </c>
      <c r="BW14" s="17" cm="1">
        <f t="array" aca="1" ref="BW14" ca="1">_FV(EC14,"Baixo")</f>
        <v>5.96</v>
      </c>
      <c r="BX14" s="17" cm="1">
        <f t="array" aca="1" ref="BX14" ca="1">_FV(EC14,"Alto")</f>
        <v>6.25</v>
      </c>
      <c r="BY14" s="24"/>
      <c r="BZ14" s="63" t="e">
        <f ca="1">SQRT(22.5*(BO14/VLOOKUP(BP14,Fundamentus!A:U,3,FALSE))*(BO14/VLOOKUP(BP14,Fundamentus!A:U,4,FALSE)))</f>
        <v>#NUM!</v>
      </c>
      <c r="CB14" s="62">
        <f t="shared" ca="1" si="24"/>
        <v>0</v>
      </c>
      <c r="CC14" s="8"/>
      <c r="CD14" s="61">
        <f t="shared" si="25"/>
        <v>5.05</v>
      </c>
      <c r="CE14" s="61">
        <f t="shared" si="26"/>
        <v>7</v>
      </c>
      <c r="CF14" s="61">
        <f t="shared" si="27"/>
        <v>6.1030303030303052</v>
      </c>
      <c r="CG14" s="14"/>
      <c r="CH14" s="35">
        <f t="shared" si="1"/>
        <v>5.2467084642249118</v>
      </c>
      <c r="CI14" s="15">
        <f t="shared" si="28"/>
        <v>5.8900000000001</v>
      </c>
      <c r="CJ14" s="35">
        <f t="shared" si="2"/>
        <v>6.5332915357752883</v>
      </c>
      <c r="CL14" s="14"/>
      <c r="CM14" s="17">
        <f t="shared" si="3"/>
        <v>3.1499999999999995</v>
      </c>
      <c r="CN14" s="17">
        <f t="shared" si="4"/>
        <v>4.0999999999999996</v>
      </c>
      <c r="CO14" s="17">
        <f t="shared" si="5"/>
        <v>5.0999999999999996</v>
      </c>
      <c r="CP14" s="38">
        <f t="shared" si="29"/>
        <v>6.05</v>
      </c>
      <c r="CQ14" s="17">
        <f t="shared" si="6"/>
        <v>7.05</v>
      </c>
      <c r="CR14" s="17">
        <f t="shared" si="7"/>
        <v>8</v>
      </c>
      <c r="CS14" s="17">
        <f t="shared" si="8"/>
        <v>9</v>
      </c>
      <c r="CT14" s="2" cm="1">
        <f t="array" aca="1" ref="CT14" ca="1">MAX(_xlfn._xlws.FILTER(CM14:CS14,CM14:CS14&lt;BO14))</f>
        <v>6.05</v>
      </c>
      <c r="CU14" s="2" cm="1">
        <f t="array" aca="1" ref="CU14" ca="1">MIN(_xlfn._xlws.FILTER($CM14:$CS14,$CM14:$CS14&gt;BO14))</f>
        <v>7.05</v>
      </c>
      <c r="CV14" s="16">
        <f t="shared" ref="CV14:CV18" ca="1" si="46">(CU14/CT14)-1</f>
        <v>0.16528925619834722</v>
      </c>
      <c r="CW14" s="20">
        <f t="shared" ref="CW14:CW18" ca="1" si="47">-$CV14/2</f>
        <v>-8.2644628099173612E-2</v>
      </c>
      <c r="CX14" s="20">
        <f t="shared" ref="CX14:CX18" ca="1" si="48">-$CV14/3</f>
        <v>-5.5096418732782405E-2</v>
      </c>
      <c r="CY14" s="20">
        <f t="shared" ref="CY14:CY18" ca="1" si="49">-$CV14/5</f>
        <v>-3.3057851239669443E-2</v>
      </c>
      <c r="CZ14" s="20">
        <f t="shared" ref="CZ14:CZ18" ca="1" si="50">-$CV14/9</f>
        <v>-1.836547291092747E-2</v>
      </c>
      <c r="DA14" s="20">
        <f t="shared" ref="DA14:DA18" ca="1" si="51">-$CV14/17</f>
        <v>-9.7228974234321898E-3</v>
      </c>
      <c r="DB14" s="20">
        <f t="shared" ref="DB14:DB18" ca="1" si="52">-$CV14/33</f>
        <v>-5.0087653393438552E-3</v>
      </c>
      <c r="DC14" s="20">
        <f t="shared" ref="DC14:DC18" ca="1" si="53">-$CV14/65</f>
        <v>-2.5429116338207265E-3</v>
      </c>
      <c r="DD14" s="21">
        <f t="shared" ref="DD14:DD18" ca="1" si="54">-$CV14/65*-1</f>
        <v>2.5429116338207265E-3</v>
      </c>
      <c r="DE14" s="21">
        <f t="shared" ref="DE14:DE18" ca="1" si="55">-$CV14/33*-1</f>
        <v>5.0087653393438552E-3</v>
      </c>
      <c r="DF14" s="21">
        <f t="shared" ref="DF14:DF18" ca="1" si="56">-$CV14/17*-1</f>
        <v>9.7228974234321898E-3</v>
      </c>
      <c r="DG14" s="21">
        <f t="shared" ref="DG14:DG18" ca="1" si="57">-$CV14/9*-1</f>
        <v>1.836547291092747E-2</v>
      </c>
      <c r="DH14" s="21">
        <f t="shared" ref="DH14:DH18" ca="1" si="58">-$CV14/5*-1</f>
        <v>3.3057851239669443E-2</v>
      </c>
      <c r="DI14" s="21">
        <f t="shared" ref="DI14:DI18" ca="1" si="59">-$CV14/3*-1</f>
        <v>5.5096418732782405E-2</v>
      </c>
      <c r="DJ14" s="21">
        <f t="shared" ref="DJ14:DJ18" ca="1" si="60">-$CV14/2*-1</f>
        <v>8.2644628099173612E-2</v>
      </c>
      <c r="DL14" s="16" cm="1">
        <f t="array" aca="1" ref="DL14" ca="1">MAX(_xlfn._xlws.FILTER(CW14:DJ14,CW14:DJ14&lt;BU14))</f>
        <v>-2.5429116338207265E-3</v>
      </c>
      <c r="DM14" s="16" cm="1">
        <f t="array" aca="1" ref="DM14" ca="1">MIN(_xlfn._xlws.FILTER(CW14:DJ14,CW14:DJ14&gt;BU14))</f>
        <v>2.5429116338207265E-3</v>
      </c>
      <c r="DN14" s="2" cm="1">
        <f t="array" aca="1" ref="DN14" ca="1">_FV(EC14,"Fechamento anterior",TRUE)</f>
        <v>6.09</v>
      </c>
      <c r="DO14" s="28">
        <f t="shared" ca="1" si="15"/>
        <v>0.82286535303776309</v>
      </c>
      <c r="DP14" s="15">
        <f t="shared" ref="DP14:DP18" ca="1" si="61">DN14+(DN14*DL14)</f>
        <v>6.0745136681500318</v>
      </c>
      <c r="DQ14" s="15">
        <f t="shared" ref="DQ14:DQ18" ca="1" si="62">DN14+(DN14*DM14)</f>
        <v>6.1054863318499679</v>
      </c>
      <c r="DR14" s="9"/>
      <c r="DS14" s="9"/>
      <c r="DT14" s="9"/>
      <c r="DU14" s="89">
        <v>9.3987423520211204E-3</v>
      </c>
      <c r="DV14" s="89">
        <f t="shared" ca="1" si="18"/>
        <v>5.085823267641453E-3</v>
      </c>
      <c r="DW14" s="72">
        <f t="shared" ca="1" si="19"/>
        <v>0.32644607976512924</v>
      </c>
      <c r="DX14" s="37"/>
      <c r="DY14" s="35">
        <f t="shared" si="39"/>
        <v>0.32164576788759414</v>
      </c>
      <c r="DZ14" s="56"/>
      <c r="EA14" s="56"/>
      <c r="EC14" s="2" t="e" vm="14">
        <v>#VALUE!</v>
      </c>
      <c r="EE14" s="10" cm="1">
        <f t="array" aca="1" ref="EE14" ca="1">_FV(EC14,"Ações em circulação",TRUE)</f>
        <v>199959500</v>
      </c>
      <c r="EF14" s="18">
        <f>VLOOKUP(BP14,Fundamentus!A:U,5,FALSE)</f>
        <v>0.754</v>
      </c>
      <c r="EG14" s="2">
        <f t="shared" ca="1" si="20"/>
        <v>1617709482.7586207</v>
      </c>
      <c r="EH14" s="17">
        <v>-22162619.913793106</v>
      </c>
      <c r="EI14" s="17">
        <f t="shared" ca="1" si="21"/>
        <v>-22162619.913793106</v>
      </c>
      <c r="EK14" s="16">
        <f t="shared" ca="1" si="22"/>
        <v>0</v>
      </c>
      <c r="EL14" s="32" t="str">
        <f>IF(VLOOKUP(BP14,Fundamentus!A:U,3,FALSE)&lt;15,"Bom",IF(VLOOKUP(BP14,Fundamentus!A:U,3,FALSE)&gt;15,"Ruim","n/a"))</f>
        <v>Bom</v>
      </c>
      <c r="EM14" s="28" t="str">
        <f>IF(VLOOKUP(BP14,Fundamentus!A:U,4,FALSE)&lt;1,"Baixo",IF(VLOOKUP(BP14,Fundamentus!A:U,4,FALSE)&lt;1.5,"Moderado",IF(VLOOKUP(BP14,Fundamentus!A:U,4,FALSE)&gt;1.5,"Alto","n/a")))</f>
        <v>Moderado</v>
      </c>
      <c r="EN14" s="17" t="str">
        <f>IF(VLOOKUP(BP14,Fundamentus!A:U,8,FALSE)&lt;0,"Risco elevado",IF(VLOOKUP(BP14,Fundamentus!A:U,8,FALSE)&lt;1,"Saudável",IF(VLOOKUP(BP14,Fundamentus!A:U,8,FALSE)&lt;3,"Estável",IF(VLOOKUP(BP14,Fundamentus!A:U,8,FALSE)&gt;3,"Alerta","n/a"))))</f>
        <v>Alerta</v>
      </c>
      <c r="EO14" s="28" t="str">
        <f t="shared" si="23"/>
        <v>Ruim</v>
      </c>
      <c r="EP14" s="17" t="str">
        <f>IF(VLOOKUP(BP14,Fundamentus!A:U,12,FALSE)&lt;2,"Subvalorizada",IF(VLOOKUP(BP14,Fundamentus!A:U,12,FALSE)&lt;6,"Muita barata",IF(VLOOKUP(BP14,Fundamentus!A:U,12,FALSE)&lt;6,"Barata",IF(VLOOKUP(BP14,Fundamentus!A:U,12,FALSE)&lt;8,"Atrativa",IF(VLOOKUP(BP14,Fundamentus!A:U,12,FALSE)&gt;8,"Supervalorizada","n/a")))))</f>
        <v>Muita barata</v>
      </c>
      <c r="ER14" s="17" t="str">
        <f>IF(VLOOKUP(BP14,Fundamentus!A:U,17,FALSE)&lt;0.1,"Fraco retorno",IF(VLOOKUP(BP14,Fundamentus!A:U,17,FALSE)&gt;0.1,"Bom retorno","n/a"))</f>
        <v>Fraco retorno</v>
      </c>
      <c r="ES14" s="17" t="str">
        <f>IF(VLOOKUP(BP14,Fundamentus!A:U,16,FALSE)&lt;0.1,"Ineficiente",IF(VLOOKUP(BP14,Fundamentus!A:U,16,FALSE)&gt;0.1,"Eficiente","n/a"))</f>
        <v>Ineficiente</v>
      </c>
      <c r="ET14" s="33" t="str">
        <f>IF(VLOOKUP(BP14,Fundamentus!A:U,16,FALSE)&lt;0.1,"Oper. Ineficiente",IF(VLOOKUP(BP14,Fundamentus!A:U,16,FALSE)&gt;0.1,"Oper.Eficiente","n/a"))</f>
        <v>Oper. Ineficiente</v>
      </c>
      <c r="EU14" s="34">
        <f>VLOOKUP(BP14,Fundamentus!A:U,14,FALSE)</f>
        <v>-1.37E-2</v>
      </c>
      <c r="EV14" s="17" t="str">
        <f>IF(VLOOKUP(BP14,Fundamentus!A:U,21,FALSE)&lt;0,"Negativo",IF(VLOOKUP(BP14,Fundamentus!A:U,21,FALSE)&lt;0.05,"Fraco",IF(VLOOKUP(BP14,Fundamentus!A:U,21,FALSE)&lt;0.1,"Bom",IF(VLOOKUP(BP14,Fundamentus!A:U,21,FALSE)&gt;0.1,"Muito bom","n/a"))))</f>
        <v>Muito bom</v>
      </c>
      <c r="EX14" s="29" t="str">
        <f>IF(VLOOKUP(BP14,Fundamentus!A:U,15,FALSE)&gt;1,"Bom",IF(VLOOKUP(BP14,Fundamentus!A:U,15,FALSE)&lt;1,"Ruim","n/a"))</f>
        <v>Bom</v>
      </c>
      <c r="EY14" s="17" t="str">
        <f>IF(VLOOKUP(BP14,Fundamentus!A:U,20,FALSE)&lt;0.5,"Baixa",IF(VLOOKUP(BP14,Fundamentus!A:U,20,FALSE)&lt;1,"Moderada",IF(VLOOKUP(BP14,Fundamentus!A:U,20,FALSE)&lt;2,"Alerta",IF(VLOOKUP(BP14,Fundamentus!A:U,20,FALSE)&gt;2,"Alta","n/a"))))</f>
        <v>Alerta</v>
      </c>
    </row>
    <row r="15" spans="1:155" s="2" customFormat="1" ht="11.25" x14ac:dyDescent="0.2">
      <c r="A15" s="4">
        <v>15.67</v>
      </c>
      <c r="B15" s="4">
        <v>15.12</v>
      </c>
      <c r="C15" s="4">
        <v>14.56</v>
      </c>
      <c r="D15" s="4">
        <v>14.74</v>
      </c>
      <c r="E15" s="4">
        <v>14.61</v>
      </c>
      <c r="F15" s="4">
        <v>14.4</v>
      </c>
      <c r="G15" s="4">
        <v>14.17</v>
      </c>
      <c r="H15" s="4">
        <v>14.4</v>
      </c>
      <c r="I15" s="4">
        <v>14.43</v>
      </c>
      <c r="J15" s="4">
        <v>14.4</v>
      </c>
      <c r="K15" s="4">
        <v>14.93</v>
      </c>
      <c r="L15" s="4">
        <v>15.3</v>
      </c>
      <c r="M15" s="4">
        <v>14.8</v>
      </c>
      <c r="N15" s="4">
        <v>14.68</v>
      </c>
      <c r="O15" s="4">
        <v>14.95</v>
      </c>
      <c r="P15" s="4">
        <v>15.83</v>
      </c>
      <c r="Q15" s="4">
        <v>16.3</v>
      </c>
      <c r="R15" s="4">
        <v>16.399999999999999</v>
      </c>
      <c r="S15" s="4">
        <v>16.170000000000002</v>
      </c>
      <c r="T15" s="4">
        <v>16.16</v>
      </c>
      <c r="U15" s="4">
        <v>15.37</v>
      </c>
      <c r="V15" s="4">
        <v>15.08</v>
      </c>
      <c r="W15" s="4">
        <v>15</v>
      </c>
      <c r="X15" s="4">
        <v>14.95</v>
      </c>
      <c r="Y15" s="4">
        <v>14.78</v>
      </c>
      <c r="Z15" s="4">
        <v>15.02</v>
      </c>
      <c r="AA15" s="4">
        <v>14.12</v>
      </c>
      <c r="AB15" s="4">
        <v>14.08</v>
      </c>
      <c r="AC15" s="4">
        <v>13.54</v>
      </c>
      <c r="AD15" s="4">
        <v>13.79</v>
      </c>
      <c r="AE15" s="4">
        <v>13.21</v>
      </c>
      <c r="AF15" s="4">
        <v>13.32</v>
      </c>
      <c r="AG15" s="4">
        <v>12.94</v>
      </c>
      <c r="AH15" s="4">
        <v>12.35</v>
      </c>
      <c r="AI15" s="4">
        <v>12.42</v>
      </c>
      <c r="AJ15" s="4">
        <v>12.24</v>
      </c>
      <c r="AK15" s="4">
        <v>12.55</v>
      </c>
      <c r="AL15" s="4">
        <v>13.06</v>
      </c>
      <c r="AM15" s="4">
        <v>13.11</v>
      </c>
      <c r="AN15" s="4">
        <v>13.56</v>
      </c>
      <c r="AO15" s="4">
        <v>13.81</v>
      </c>
      <c r="AP15" s="4">
        <v>13.94</v>
      </c>
      <c r="AQ15" s="4">
        <v>13.8</v>
      </c>
      <c r="AR15" s="4">
        <v>13.37</v>
      </c>
      <c r="AS15" s="4">
        <v>13.55</v>
      </c>
      <c r="AT15" s="4">
        <v>13.74</v>
      </c>
      <c r="AU15" s="4">
        <v>14.02</v>
      </c>
      <c r="AV15" s="4">
        <v>14.38</v>
      </c>
      <c r="AW15" s="4">
        <v>14.04</v>
      </c>
      <c r="AX15" s="4">
        <v>13.96</v>
      </c>
      <c r="AY15" s="12">
        <v>14.26</v>
      </c>
      <c r="AZ15" s="12">
        <v>14.6</v>
      </c>
      <c r="BA15" s="12">
        <v>15.45</v>
      </c>
      <c r="BB15" s="15">
        <v>15.53</v>
      </c>
      <c r="BC15" s="52">
        <v>15.91</v>
      </c>
      <c r="BD15" s="52">
        <v>15.69</v>
      </c>
      <c r="BE15" s="52">
        <v>15.4</v>
      </c>
      <c r="BF15" s="52">
        <v>14.98</v>
      </c>
      <c r="BG15" s="67">
        <v>15.5</v>
      </c>
      <c r="BH15" s="52">
        <v>15.37</v>
      </c>
      <c r="BI15" s="52">
        <v>15.34</v>
      </c>
      <c r="BJ15" s="52">
        <v>15.37</v>
      </c>
      <c r="BK15" s="52">
        <v>14.44</v>
      </c>
      <c r="BL15" s="52">
        <v>13.79</v>
      </c>
      <c r="BM15" s="52">
        <v>13.96</v>
      </c>
      <c r="BN15" s="52">
        <v>13.64</v>
      </c>
      <c r="BO15" s="52" cm="1">
        <f t="array" aca="1" ref="BO15" ca="1">_FV(EC15,"Preço")</f>
        <v>13.64</v>
      </c>
      <c r="BP15" s="69" t="s">
        <v>12</v>
      </c>
      <c r="BQ15" s="36" cm="1">
        <f t="array" aca="1" ref="BQ15" ca="1">_FV(EC15,"Média de volume",TRUE)</f>
        <v>62790</v>
      </c>
      <c r="BR15" s="36">
        <v>54600</v>
      </c>
      <c r="BS15" s="36" cm="1">
        <f t="array" aca="1" ref="BS15" ca="1">_FV(EC15,"Volume")</f>
        <v>54600</v>
      </c>
      <c r="BT15" s="24" cm="1">
        <f t="array" aca="1" ref="BT15" ca="1">_FV(EC15,"Beta")</f>
        <v>1.1026</v>
      </c>
      <c r="BU15" s="71" cm="1">
        <f t="array" aca="1" ref="BU15" ca="1">_FV(EC15,"Variação (%)",TRUE)</f>
        <v>-2.0818E-2</v>
      </c>
      <c r="BW15" s="17" cm="1">
        <f t="array" aca="1" ref="BW15" ca="1">_FV(EC15,"Baixo")</f>
        <v>13.59</v>
      </c>
      <c r="BX15" s="17" cm="1">
        <f t="array" aca="1" ref="BX15" ca="1">_FV(EC15,"Alto")</f>
        <v>14.11</v>
      </c>
      <c r="BY15" s="24"/>
      <c r="BZ15" s="63">
        <f ca="1">SQRT(22.5*(BO15/VLOOKUP(BP15,Fundamentus!A:U,3,FALSE))*(BO15/VLOOKUP(BP15,Fundamentus!A:U,4,FALSE)))</f>
        <v>21.920813455191546</v>
      </c>
      <c r="CB15" s="62">
        <f t="shared" ca="1" si="24"/>
        <v>0</v>
      </c>
      <c r="CC15" s="8"/>
      <c r="CD15" s="61">
        <f t="shared" si="25"/>
        <v>12.24</v>
      </c>
      <c r="CE15" s="61">
        <f t="shared" si="26"/>
        <v>16.399999999999999</v>
      </c>
      <c r="CF15" s="61">
        <f t="shared" si="27"/>
        <v>14.459848484848484</v>
      </c>
      <c r="CG15" s="14"/>
      <c r="CH15" s="35">
        <f t="shared" si="1"/>
        <v>12.148504894136709</v>
      </c>
      <c r="CI15" s="15">
        <f t="shared" si="28"/>
        <v>13.400000000000091</v>
      </c>
      <c r="CJ15" s="35">
        <f t="shared" si="2"/>
        <v>14.651495105863473</v>
      </c>
      <c r="CL15" s="14"/>
      <c r="CM15" s="17">
        <f t="shared" si="3"/>
        <v>7.6266666666666705</v>
      </c>
      <c r="CN15" s="17">
        <f t="shared" si="4"/>
        <v>9.9333333333333353</v>
      </c>
      <c r="CO15" s="17">
        <f t="shared" si="5"/>
        <v>11.786666666666669</v>
      </c>
      <c r="CP15" s="38">
        <f t="shared" si="29"/>
        <v>14.093333333333334</v>
      </c>
      <c r="CQ15" s="17">
        <f t="shared" si="6"/>
        <v>15.946666666666667</v>
      </c>
      <c r="CR15" s="17">
        <f t="shared" si="7"/>
        <v>18.25333333333333</v>
      </c>
      <c r="CS15" s="17">
        <f t="shared" si="8"/>
        <v>20.106666666666666</v>
      </c>
      <c r="CT15" s="2" cm="1">
        <f t="array" aca="1" ref="CT15" ca="1">MAX(_xlfn._xlws.FILTER(CM15:CS15,CM15:CS15&lt;BO15))</f>
        <v>11.786666666666669</v>
      </c>
      <c r="CU15" s="2" cm="1">
        <f t="array" aca="1" ref="CU15" ca="1">MIN(_xlfn._xlws.FILTER($CM15:$CS15,$CM15:$CS15&gt;BO15))</f>
        <v>14.093333333333334</v>
      </c>
      <c r="CV15" s="16">
        <f t="shared" ca="1" si="46"/>
        <v>0.1957013574660631</v>
      </c>
      <c r="CW15" s="20">
        <f t="shared" ca="1" si="47"/>
        <v>-9.7850678733031549E-2</v>
      </c>
      <c r="CX15" s="20">
        <f t="shared" ca="1" si="48"/>
        <v>-6.5233785822021037E-2</v>
      </c>
      <c r="CY15" s="20">
        <f t="shared" ca="1" si="49"/>
        <v>-3.9140271493212621E-2</v>
      </c>
      <c r="CZ15" s="20">
        <f t="shared" ca="1" si="50"/>
        <v>-2.174459527400701E-2</v>
      </c>
      <c r="DA15" s="20">
        <f t="shared" ca="1" si="51"/>
        <v>-1.1511844556827241E-2</v>
      </c>
      <c r="DB15" s="20">
        <f t="shared" ca="1" si="52"/>
        <v>-5.9303441656382754E-3</v>
      </c>
      <c r="DC15" s="20">
        <f t="shared" ca="1" si="53"/>
        <v>-3.010790114862509E-3</v>
      </c>
      <c r="DD15" s="21">
        <f t="shared" ca="1" si="54"/>
        <v>3.010790114862509E-3</v>
      </c>
      <c r="DE15" s="21">
        <f t="shared" ca="1" si="55"/>
        <v>5.9303441656382754E-3</v>
      </c>
      <c r="DF15" s="21">
        <f t="shared" ca="1" si="56"/>
        <v>1.1511844556827241E-2</v>
      </c>
      <c r="DG15" s="21">
        <f t="shared" ca="1" si="57"/>
        <v>2.174459527400701E-2</v>
      </c>
      <c r="DH15" s="21">
        <f t="shared" ca="1" si="58"/>
        <v>3.9140271493212621E-2</v>
      </c>
      <c r="DI15" s="21">
        <f t="shared" ca="1" si="59"/>
        <v>6.5233785822021037E-2</v>
      </c>
      <c r="DJ15" s="21">
        <f t="shared" ca="1" si="60"/>
        <v>9.7850678733031549E-2</v>
      </c>
      <c r="DL15" s="16" cm="1">
        <f t="array" aca="1" ref="DL15" ca="1">MAX(_xlfn._xlws.FILTER(CW15:DJ15,CW15:DJ15&lt;BU15))</f>
        <v>-2.174459527400701E-2</v>
      </c>
      <c r="DM15" s="16" cm="1">
        <f t="array" aca="1" ref="DM15" ca="1">MIN(_xlfn._xlws.FILTER(CW15:DJ15,CW15:DJ15&gt;BU15))</f>
        <v>-1.1511844556827241E-2</v>
      </c>
      <c r="DN15" s="2" cm="1">
        <f t="array" aca="1" ref="DN15" ca="1">_FV(EC15,"Fechamento anterior",TRUE)</f>
        <v>13.93</v>
      </c>
      <c r="DO15" s="28">
        <f t="shared" ca="1" si="15"/>
        <v>9.051502350730449E-2</v>
      </c>
      <c r="DP15" s="15">
        <f t="shared" ca="1" si="61"/>
        <v>13.627097787833081</v>
      </c>
      <c r="DQ15" s="15">
        <f t="shared" ca="1" si="62"/>
        <v>13.769640005323396</v>
      </c>
      <c r="DR15" s="9"/>
      <c r="DS15" s="9"/>
      <c r="DT15" s="9"/>
      <c r="DU15" s="89">
        <v>9.9267226052881363E-3</v>
      </c>
      <c r="DV15" s="89">
        <f t="shared" ca="1" si="18"/>
        <v>1.0232750717179769E-2</v>
      </c>
      <c r="DW15" s="72">
        <f t="shared" ca="1" si="19"/>
        <v>0.19177062608993445</v>
      </c>
      <c r="DX15" s="37"/>
      <c r="DY15" s="35">
        <f t="shared" si="39"/>
        <v>0.62574755293169104</v>
      </c>
      <c r="DZ15" s="56"/>
      <c r="EA15" s="56"/>
      <c r="EC15" s="2" t="e" vm="15">
        <v>#VALUE!</v>
      </c>
      <c r="EE15" s="10" cm="1">
        <f t="array" aca="1" ref="EE15" ca="1">_FV(EC15,"Ações em circulação",TRUE)</f>
        <v>3749266000</v>
      </c>
      <c r="EF15" s="18">
        <f>VLOOKUP(BP15,Fundamentus!A:U,5,FALSE)</f>
        <v>0</v>
      </c>
      <c r="EG15" s="2" t="e">
        <f t="shared" ca="1" si="20"/>
        <v>#DIV/0!</v>
      </c>
      <c r="EH15" s="17" t="e">
        <v>#DIV/0!</v>
      </c>
      <c r="EI15" s="17" t="e">
        <f t="shared" ca="1" si="21"/>
        <v>#DIV/0!</v>
      </c>
      <c r="EK15" s="16" t="e">
        <f t="shared" ca="1" si="22"/>
        <v>#DIV/0!</v>
      </c>
      <c r="EL15" s="32" t="str">
        <f>IF(VLOOKUP(BP15,Fundamentus!A:U,3,FALSE)&lt;15,"Bom",IF(VLOOKUP(BP15,Fundamentus!A:U,3,FALSE)&gt;15,"Ruim","n/a"))</f>
        <v>Bom</v>
      </c>
      <c r="EM15" s="28" t="str">
        <f>IF(VLOOKUP(BP15,Fundamentus!A:U,4,FALSE)&lt;1,"Baixo",IF(VLOOKUP(BP15,Fundamentus!A:U,4,FALSE)&lt;1.5,"Moderado",IF(VLOOKUP(BP15,Fundamentus!A:U,4,FALSE)&gt;1.5,"Alto","n/a")))</f>
        <v>Moderado</v>
      </c>
      <c r="EN15" s="17" t="str">
        <f>IF(VLOOKUP(BP15,Fundamentus!A:U,8,FALSE)&lt;0,"Risco elevado",IF(VLOOKUP(BP15,Fundamentus!A:U,8,FALSE)&lt;1,"Saudável",IF(VLOOKUP(BP15,Fundamentus!A:U,8,FALSE)&lt;3,"Estável",IF(VLOOKUP(BP15,Fundamentus!A:U,8,FALSE)&gt;3,"Alerta","n/a"))))</f>
        <v>Saudável</v>
      </c>
      <c r="EO15" s="28" t="str">
        <f t="shared" si="23"/>
        <v>Ruim</v>
      </c>
      <c r="EP15" s="17" t="str">
        <f>IF(VLOOKUP(BP15,Fundamentus!A:U,12,FALSE)&lt;2,"Subvalorizada",IF(VLOOKUP(BP15,Fundamentus!A:U,12,FALSE)&lt;6,"Muita barata",IF(VLOOKUP(BP15,Fundamentus!A:U,12,FALSE)&lt;6,"Barata",IF(VLOOKUP(BP15,Fundamentus!A:U,12,FALSE)&lt;8,"Atrativa",IF(VLOOKUP(BP15,Fundamentus!A:U,12,FALSE)&gt;8,"Supervalorizada","n/a")))))</f>
        <v>Subvalorizada</v>
      </c>
      <c r="ER15" s="17" t="str">
        <f>IF(VLOOKUP(BP15,Fundamentus!A:U,17,FALSE)&lt;0.1,"Fraco retorno",IF(VLOOKUP(BP15,Fundamentus!A:U,17,FALSE)&gt;0.1,"Bom retorno","n/a"))</f>
        <v>Bom retorno</v>
      </c>
      <c r="ES15" s="17" t="str">
        <f>IF(VLOOKUP(BP15,Fundamentus!A:U,16,FALSE)&lt;0.1,"Ineficiente",IF(VLOOKUP(BP15,Fundamentus!A:U,16,FALSE)&gt;0.1,"Eficiente","n/a"))</f>
        <v>Ineficiente</v>
      </c>
      <c r="ET15" s="33" t="str">
        <f>IF(VLOOKUP(BP15,Fundamentus!A:U,16,FALSE)&lt;0.1,"Oper. Ineficiente",IF(VLOOKUP(BP15,Fundamentus!A:U,16,FALSE)&gt;0.1,"Oper.Eficiente","n/a"))</f>
        <v>Oper. Ineficiente</v>
      </c>
      <c r="EU15" s="34">
        <f>VLOOKUP(BP15,Fundamentus!A:U,14,FALSE)</f>
        <v>0</v>
      </c>
      <c r="EV15" s="17" t="str">
        <f>IF(VLOOKUP(BP15,Fundamentus!A:U,21,FALSE)&lt;0,"Negativo",IF(VLOOKUP(BP15,Fundamentus!A:U,21,FALSE)&lt;0.05,"Fraco",IF(VLOOKUP(BP15,Fundamentus!A:U,21,FALSE)&lt;0.1,"Bom",IF(VLOOKUP(BP15,Fundamentus!A:U,21,FALSE)&gt;0.1,"Muito bom","n/a"))))</f>
        <v>Negativo</v>
      </c>
      <c r="EX15" s="29" t="str">
        <f>IF(VLOOKUP(BP15,Fundamentus!A:U,15,FALSE)&gt;1,"Bom",IF(VLOOKUP(BP15,Fundamentus!A:U,15,FALSE)&lt;1,"Ruim","n/a"))</f>
        <v>Ruim</v>
      </c>
      <c r="EY15" s="17" t="str">
        <f>IF(VLOOKUP(BP15,Fundamentus!A:U,20,FALSE)&lt;0.5,"Baixa",IF(VLOOKUP(BP15,Fundamentus!A:U,20,FALSE)&lt;1,"Moderada",IF(VLOOKUP(BP15,Fundamentus!A:U,20,FALSE)&lt;2,"Alerta",IF(VLOOKUP(BP15,Fundamentus!A:U,20,FALSE)&gt;2,"Alta","n/a"))))</f>
        <v>Baixa</v>
      </c>
    </row>
    <row r="16" spans="1:155" s="2" customFormat="1" ht="11.25" x14ac:dyDescent="0.2">
      <c r="A16" s="4">
        <v>4.68</v>
      </c>
      <c r="B16" s="4">
        <v>4.6500000000000004</v>
      </c>
      <c r="C16" s="4">
        <v>4.8099999999999996</v>
      </c>
      <c r="D16" s="4">
        <v>4.91</v>
      </c>
      <c r="E16" s="4">
        <v>4.6500000000000004</v>
      </c>
      <c r="F16" s="4">
        <v>4.71</v>
      </c>
      <c r="G16" s="4">
        <v>4.6500000000000004</v>
      </c>
      <c r="H16" s="4">
        <v>4.5</v>
      </c>
      <c r="I16" s="4">
        <v>4.55</v>
      </c>
      <c r="J16" s="4">
        <v>4.58</v>
      </c>
      <c r="K16" s="4">
        <v>4.58</v>
      </c>
      <c r="L16" s="4">
        <v>4.55</v>
      </c>
      <c r="M16" s="4">
        <v>4.45</v>
      </c>
      <c r="N16" s="4">
        <v>4.4000000000000004</v>
      </c>
      <c r="O16" s="4">
        <v>4.47</v>
      </c>
      <c r="P16" s="4">
        <v>4.46</v>
      </c>
      <c r="Q16" s="4">
        <v>4.55</v>
      </c>
      <c r="R16" s="4">
        <v>4.51</v>
      </c>
      <c r="S16" s="4">
        <v>4.5599999999999996</v>
      </c>
      <c r="T16" s="4">
        <v>5.08</v>
      </c>
      <c r="U16" s="4">
        <v>4.6399999999999997</v>
      </c>
      <c r="V16" s="4">
        <v>4.6500000000000004</v>
      </c>
      <c r="W16" s="4">
        <v>4.59</v>
      </c>
      <c r="X16" s="4">
        <v>4.43</v>
      </c>
      <c r="Y16" s="4">
        <v>4.37</v>
      </c>
      <c r="Z16" s="4">
        <v>4.45</v>
      </c>
      <c r="AA16" s="4">
        <v>4.45</v>
      </c>
      <c r="AB16" s="4">
        <v>4.4000000000000004</v>
      </c>
      <c r="AC16" s="4">
        <v>4.2699999999999996</v>
      </c>
      <c r="AD16" s="4">
        <v>4.3</v>
      </c>
      <c r="AE16" s="4">
        <v>4.3</v>
      </c>
      <c r="AF16" s="4">
        <v>4.32</v>
      </c>
      <c r="AG16" s="4">
        <v>4.25</v>
      </c>
      <c r="AH16" s="4">
        <v>4.22</v>
      </c>
      <c r="AI16" s="4">
        <v>4.0999999999999996</v>
      </c>
      <c r="AJ16" s="4">
        <v>4.2</v>
      </c>
      <c r="AK16" s="4">
        <v>4.2300000000000004</v>
      </c>
      <c r="AL16" s="4">
        <v>4.1500000000000004</v>
      </c>
      <c r="AM16" s="4">
        <v>4.1399999999999997</v>
      </c>
      <c r="AN16" s="4">
        <v>4.1900000000000004</v>
      </c>
      <c r="AO16" s="4">
        <v>4.18</v>
      </c>
      <c r="AP16" s="4">
        <v>4.17</v>
      </c>
      <c r="AQ16" s="4">
        <v>4.17</v>
      </c>
      <c r="AR16" s="4">
        <v>4.1500000000000004</v>
      </c>
      <c r="AS16" s="4">
        <v>4.13</v>
      </c>
      <c r="AT16" s="4">
        <v>4.13</v>
      </c>
      <c r="AU16" s="4">
        <v>4.2249999999999996</v>
      </c>
      <c r="AV16" s="4">
        <v>4.3600000000000003</v>
      </c>
      <c r="AW16" s="4">
        <v>4.2699999999999996</v>
      </c>
      <c r="AX16" s="4">
        <v>4.2300000000000004</v>
      </c>
      <c r="AY16" s="12">
        <v>4.4400000000000004</v>
      </c>
      <c r="AZ16" s="12">
        <v>4.45</v>
      </c>
      <c r="BA16" s="12">
        <v>4.4800000000000004</v>
      </c>
      <c r="BB16" s="15">
        <v>4.42</v>
      </c>
      <c r="BC16" s="52">
        <v>4.7</v>
      </c>
      <c r="BD16" s="52">
        <v>4.8899999999999997</v>
      </c>
      <c r="BE16" s="52">
        <v>4.88</v>
      </c>
      <c r="BF16" s="52">
        <v>4.91</v>
      </c>
      <c r="BG16" s="67">
        <v>4.95</v>
      </c>
      <c r="BH16" s="52">
        <v>4.75</v>
      </c>
      <c r="BI16" s="52">
        <v>5.05</v>
      </c>
      <c r="BJ16" s="52">
        <v>4.5999999999999996</v>
      </c>
      <c r="BK16" s="52">
        <v>4.2</v>
      </c>
      <c r="BL16" s="52">
        <v>4.17</v>
      </c>
      <c r="BM16" s="52">
        <v>4.08</v>
      </c>
      <c r="BN16" s="52">
        <v>4.4000000000000004</v>
      </c>
      <c r="BO16" s="52" cm="1">
        <f t="array" aca="1" ref="BO16" ca="1">_FV(EC16,"Preço")</f>
        <v>4.4000000000000004</v>
      </c>
      <c r="BP16" s="69" t="s">
        <v>13</v>
      </c>
      <c r="BQ16" s="36" cm="1">
        <f t="array" aca="1" ref="BQ16" ca="1">_FV(EC16,"Média de volume",TRUE)</f>
        <v>22030</v>
      </c>
      <c r="BR16" s="36">
        <v>13500</v>
      </c>
      <c r="BS16" s="36" cm="1">
        <f t="array" aca="1" ref="BS16" ca="1">_FV(EC16,"Volume")</f>
        <v>13500</v>
      </c>
      <c r="BT16" s="24" cm="1">
        <f t="array" aca="1" ref="BT16" ca="1">_FV(EC16,"Beta")</f>
        <v>0.54669999999999996</v>
      </c>
      <c r="BU16" s="71" cm="1">
        <f t="array" aca="1" ref="BU16" ca="1">_FV(EC16,"Variação (%)",TRUE)</f>
        <v>1.6166E-2</v>
      </c>
      <c r="BW16" s="17" cm="1">
        <f t="array" aca="1" ref="BW16" ca="1">_FV(EC16,"Baixo")</f>
        <v>4.29</v>
      </c>
      <c r="BX16" s="17" cm="1">
        <f t="array" aca="1" ref="BX16" ca="1">_FV(EC16,"Alto")</f>
        <v>4.4400000000000004</v>
      </c>
      <c r="BY16" s="24"/>
      <c r="BZ16" s="63">
        <f ca="1">SQRT(22.5*(BO16/VLOOKUP(BP16,Fundamentus!A:U,3,FALSE))*(BO16/VLOOKUP(BP16,Fundamentus!A:U,4,FALSE)))</f>
        <v>5.2355236169468231</v>
      </c>
      <c r="CB16" s="62">
        <f t="shared" ca="1" si="24"/>
        <v>0</v>
      </c>
      <c r="CC16" s="8"/>
      <c r="CD16" s="61">
        <f t="shared" si="25"/>
        <v>4.08</v>
      </c>
      <c r="CE16" s="61">
        <f t="shared" si="26"/>
        <v>5.08</v>
      </c>
      <c r="CF16" s="61">
        <f t="shared" si="27"/>
        <v>4.4596212121212107</v>
      </c>
      <c r="CG16" s="14"/>
      <c r="CH16" s="35">
        <f t="shared" si="1"/>
        <v>3.9660481314393272</v>
      </c>
      <c r="CI16" s="15">
        <f t="shared" si="28"/>
        <v>4.339999999999975</v>
      </c>
      <c r="CJ16" s="35">
        <f t="shared" si="2"/>
        <v>4.7139518685606223</v>
      </c>
      <c r="CL16" s="14"/>
      <c r="CM16" s="17">
        <f t="shared" si="3"/>
        <v>2.9600000000000009</v>
      </c>
      <c r="CN16" s="17">
        <f t="shared" si="4"/>
        <v>3.5200000000000005</v>
      </c>
      <c r="CO16" s="17">
        <f t="shared" si="5"/>
        <v>3.9600000000000009</v>
      </c>
      <c r="CP16" s="38">
        <f t="shared" si="29"/>
        <v>4.5200000000000005</v>
      </c>
      <c r="CQ16" s="17">
        <f t="shared" si="6"/>
        <v>4.9600000000000009</v>
      </c>
      <c r="CR16" s="17">
        <f t="shared" si="7"/>
        <v>5.5200000000000005</v>
      </c>
      <c r="CS16" s="17">
        <f t="shared" si="8"/>
        <v>5.9600000000000009</v>
      </c>
      <c r="CT16" s="2" cm="1">
        <f t="array" aca="1" ref="CT16" ca="1">MAX(_xlfn._xlws.FILTER(CM16:CS16,CM16:CS16&lt;BO16))</f>
        <v>3.9600000000000009</v>
      </c>
      <c r="CU16" s="2" cm="1">
        <f t="array" aca="1" ref="CU16" ca="1">MIN(_xlfn._xlws.FILTER($CM16:$CS16,$CM16:$CS16&gt;BO16))</f>
        <v>4.5200000000000005</v>
      </c>
      <c r="CV16" s="16">
        <f t="shared" ca="1" si="46"/>
        <v>0.14141414141414121</v>
      </c>
      <c r="CW16" s="20">
        <f t="shared" ca="1" si="47"/>
        <v>-7.0707070707070607E-2</v>
      </c>
      <c r="CX16" s="20">
        <f t="shared" ca="1" si="48"/>
        <v>-4.7138047138047069E-2</v>
      </c>
      <c r="CY16" s="20">
        <f t="shared" ca="1" si="49"/>
        <v>-2.8282828282828243E-2</v>
      </c>
      <c r="CZ16" s="20">
        <f t="shared" ca="1" si="50"/>
        <v>-1.5712682379349023E-2</v>
      </c>
      <c r="DA16" s="20">
        <f t="shared" ca="1" si="51"/>
        <v>-8.3184789067141888E-3</v>
      </c>
      <c r="DB16" s="20">
        <f t="shared" ca="1" si="52"/>
        <v>-4.2852770125497335E-3</v>
      </c>
      <c r="DC16" s="20">
        <f t="shared" ca="1" si="53"/>
        <v>-2.1756021756021726E-3</v>
      </c>
      <c r="DD16" s="21">
        <f t="shared" ca="1" si="54"/>
        <v>2.1756021756021726E-3</v>
      </c>
      <c r="DE16" s="21">
        <f t="shared" ca="1" si="55"/>
        <v>4.2852770125497335E-3</v>
      </c>
      <c r="DF16" s="21">
        <f t="shared" ca="1" si="56"/>
        <v>8.3184789067141888E-3</v>
      </c>
      <c r="DG16" s="21">
        <f t="shared" ca="1" si="57"/>
        <v>1.5712682379349023E-2</v>
      </c>
      <c r="DH16" s="21">
        <f t="shared" ca="1" si="58"/>
        <v>2.8282828282828243E-2</v>
      </c>
      <c r="DI16" s="21">
        <f t="shared" ca="1" si="59"/>
        <v>4.7138047138047069E-2</v>
      </c>
      <c r="DJ16" s="21">
        <f t="shared" ca="1" si="60"/>
        <v>7.0707070707070607E-2</v>
      </c>
      <c r="DL16" s="16" cm="1">
        <f t="array" aca="1" ref="DL16" ca="1">MAX(_xlfn._xlws.FILTER(CW16:DJ16,CW16:DJ16&lt;BU16))</f>
        <v>1.5712682379349023E-2</v>
      </c>
      <c r="DM16" s="16" cm="1">
        <f t="array" aca="1" ref="DM16" ca="1">MIN(_xlfn._xlws.FILTER(CW16:DJ16,CW16:DJ16&gt;BU16))</f>
        <v>2.8282828282828243E-2</v>
      </c>
      <c r="DN16" s="2" cm="1">
        <f t="array" aca="1" ref="DN16" ca="1">_FV(EC16,"Fechamento anterior",TRUE)</f>
        <v>4.33</v>
      </c>
      <c r="DO16" s="28">
        <f t="shared" ca="1" si="15"/>
        <v>3.6085450346426941E-2</v>
      </c>
      <c r="DP16" s="15">
        <f t="shared" ca="1" si="61"/>
        <v>4.3980359147025814</v>
      </c>
      <c r="DQ16" s="15">
        <f t="shared" ca="1" si="62"/>
        <v>4.4524646464646462</v>
      </c>
      <c r="DR16" s="9"/>
      <c r="DS16" s="9"/>
      <c r="DT16" s="9"/>
      <c r="DU16" s="89">
        <v>4.7700659630194996E-3</v>
      </c>
      <c r="DV16" s="89">
        <f t="shared" ca="1" si="18"/>
        <v>1.257014590347922E-2</v>
      </c>
      <c r="DW16" s="72">
        <f t="shared" ca="1" si="19"/>
        <v>0.16044845619027714</v>
      </c>
      <c r="DX16" s="37"/>
      <c r="DY16" s="35">
        <f t="shared" si="39"/>
        <v>0.1869759342803238</v>
      </c>
      <c r="DZ16" s="56"/>
      <c r="EA16" s="56"/>
      <c r="EC16" s="2" t="e" vm="16">
        <v>#VALUE!</v>
      </c>
      <c r="EE16" s="10" cm="1">
        <f t="array" aca="1" ref="EE16" ca="1">_FV(EC16,"Ações em circulação",TRUE)</f>
        <v>1502786000</v>
      </c>
      <c r="EF16" s="18">
        <f>VLOOKUP(BP16,Fundamentus!A:U,5,FALSE)</f>
        <v>0.47399999999999998</v>
      </c>
      <c r="EG16" s="2">
        <f t="shared" ca="1" si="20"/>
        <v>13949912236.286922</v>
      </c>
      <c r="EH16" s="17">
        <v>949989023.29113936</v>
      </c>
      <c r="EI16" s="17">
        <f t="shared" ca="1" si="21"/>
        <v>949989023.29113936</v>
      </c>
      <c r="EK16" s="16">
        <f t="shared" ca="1" si="22"/>
        <v>0</v>
      </c>
      <c r="EL16" s="32" t="str">
        <f>IF(VLOOKUP(BP16,Fundamentus!A:U,3,FALSE)&lt;15,"Bom",IF(VLOOKUP(BP16,Fundamentus!A:U,3,FALSE)&gt;15,"Ruim","n/a"))</f>
        <v>Bom</v>
      </c>
      <c r="EM16" s="28" t="str">
        <f>IF(VLOOKUP(BP16,Fundamentus!A:U,4,FALSE)&lt;1,"Baixo",IF(VLOOKUP(BP16,Fundamentus!A:U,4,FALSE)&lt;1.5,"Moderado",IF(VLOOKUP(BP16,Fundamentus!A:U,4,FALSE)&gt;1.5,"Alto","n/a")))</f>
        <v>Alto</v>
      </c>
      <c r="EN16" s="17" t="str">
        <f>IF(VLOOKUP(BP16,Fundamentus!A:U,8,FALSE)&lt;0,"Risco elevado",IF(VLOOKUP(BP16,Fundamentus!A:U,8,FALSE)&lt;1,"Saudável",IF(VLOOKUP(BP16,Fundamentus!A:U,8,FALSE)&lt;3,"Estável",IF(VLOOKUP(BP16,Fundamentus!A:U,8,FALSE)&gt;3,"Alerta","n/a"))))</f>
        <v>Alerta</v>
      </c>
      <c r="EO16" s="28" t="str">
        <f t="shared" si="23"/>
        <v>Ruim</v>
      </c>
      <c r="EP16" s="17" t="str">
        <f>IF(VLOOKUP(BP16,Fundamentus!A:U,12,FALSE)&lt;2,"Subvalorizada",IF(VLOOKUP(BP16,Fundamentus!A:U,12,FALSE)&lt;6,"Muita barata",IF(VLOOKUP(BP16,Fundamentus!A:U,12,FALSE)&lt;6,"Barata",IF(VLOOKUP(BP16,Fundamentus!A:U,12,FALSE)&lt;8,"Atrativa",IF(VLOOKUP(BP16,Fundamentus!A:U,12,FALSE)&gt;8,"Supervalorizada","n/a")))))</f>
        <v>Muita barata</v>
      </c>
      <c r="ER16" s="17" t="str">
        <f>IF(VLOOKUP(BP16,Fundamentus!A:U,17,FALSE)&lt;0.1,"Fraco retorno",IF(VLOOKUP(BP16,Fundamentus!A:U,17,FALSE)&gt;0.1,"Bom retorno","n/a"))</f>
        <v>Bom retorno</v>
      </c>
      <c r="ES16" s="17" t="str">
        <f>IF(VLOOKUP(BP16,Fundamentus!A:U,16,FALSE)&lt;0.1,"Ineficiente",IF(VLOOKUP(BP16,Fundamentus!A:U,16,FALSE)&gt;0.1,"Eficiente","n/a"))</f>
        <v>Eficiente</v>
      </c>
      <c r="ET16" s="33" t="str">
        <f>IF(VLOOKUP(BP16,Fundamentus!A:U,16,FALSE)&lt;0.1,"Oper. Ineficiente",IF(VLOOKUP(BP16,Fundamentus!A:U,16,FALSE)&gt;0.1,"Oper.Eficiente","n/a"))</f>
        <v>Oper.Eficiente</v>
      </c>
      <c r="EU16" s="34">
        <f>VLOOKUP(BP16,Fundamentus!A:U,14,FALSE)</f>
        <v>6.8099999999999994E-2</v>
      </c>
      <c r="EV16" s="17" t="str">
        <f>IF(VLOOKUP(BP16,Fundamentus!A:U,21,FALSE)&lt;0,"Negativo",IF(VLOOKUP(BP16,Fundamentus!A:U,21,FALSE)&lt;0.05,"Fraco",IF(VLOOKUP(BP16,Fundamentus!A:U,21,FALSE)&lt;0.1,"Bom",IF(VLOOKUP(BP16,Fundamentus!A:U,21,FALSE)&gt;0.1,"Muito bom","n/a"))))</f>
        <v>Bom</v>
      </c>
      <c r="EX16" s="29" t="str">
        <f>IF(VLOOKUP(BP16,Fundamentus!A:U,15,FALSE)&gt;1,"Bom",IF(VLOOKUP(BP16,Fundamentus!A:U,15,FALSE)&lt;1,"Ruim","n/a"))</f>
        <v>Bom</v>
      </c>
      <c r="EY16" s="17" t="str">
        <f>IF(VLOOKUP(BP16,Fundamentus!A:U,20,FALSE)&lt;0.5,"Baixa",IF(VLOOKUP(BP16,Fundamentus!A:U,20,FALSE)&lt;1,"Moderada",IF(VLOOKUP(BP16,Fundamentus!A:U,20,FALSE)&lt;2,"Alerta",IF(VLOOKUP(BP16,Fundamentus!A:U,20,FALSE)&gt;2,"Alta","n/a"))))</f>
        <v>Baixa</v>
      </c>
    </row>
    <row r="17" spans="1:156" s="2" customFormat="1" ht="11.25" x14ac:dyDescent="0.2">
      <c r="A17" s="4">
        <v>9.9</v>
      </c>
      <c r="B17" s="4">
        <v>9.49</v>
      </c>
      <c r="C17" s="4">
        <v>9.17</v>
      </c>
      <c r="D17" s="4">
        <v>9.27</v>
      </c>
      <c r="E17" s="4">
        <v>8.92</v>
      </c>
      <c r="F17" s="4">
        <v>8.92</v>
      </c>
      <c r="G17" s="4">
        <v>9</v>
      </c>
      <c r="H17" s="4">
        <v>8.77</v>
      </c>
      <c r="I17" s="4">
        <v>8.83</v>
      </c>
      <c r="J17" s="4">
        <v>8.7100000000000009</v>
      </c>
      <c r="K17" s="4">
        <v>9.25</v>
      </c>
      <c r="L17" s="4">
        <v>9.4600000000000009</v>
      </c>
      <c r="M17" s="4">
        <v>9.16</v>
      </c>
      <c r="N17" s="4">
        <v>9.91</v>
      </c>
      <c r="O17" s="4">
        <v>10.1</v>
      </c>
      <c r="P17" s="4">
        <v>9.14</v>
      </c>
      <c r="Q17" s="4">
        <v>9.0299999999999994</v>
      </c>
      <c r="R17" s="4">
        <v>9.3000000000000007</v>
      </c>
      <c r="S17" s="4">
        <v>9.8000000000000007</v>
      </c>
      <c r="T17" s="4">
        <v>9.3000000000000007</v>
      </c>
      <c r="U17" s="4">
        <v>8.85</v>
      </c>
      <c r="V17" s="4">
        <v>9.6300000000000008</v>
      </c>
      <c r="W17" s="4">
        <v>9.4</v>
      </c>
      <c r="X17" s="4">
        <v>9.43</v>
      </c>
      <c r="Y17" s="4">
        <v>9.3000000000000007</v>
      </c>
      <c r="Z17" s="4">
        <v>9.1999999999999993</v>
      </c>
      <c r="AA17" s="4">
        <v>9.02</v>
      </c>
      <c r="AB17" s="4">
        <v>8.3699999999999992</v>
      </c>
      <c r="AC17" s="4">
        <v>7.9</v>
      </c>
      <c r="AD17" s="4">
        <v>8.1999999999999993</v>
      </c>
      <c r="AE17" s="4">
        <v>7.94</v>
      </c>
      <c r="AF17" s="4">
        <v>8.0500000000000007</v>
      </c>
      <c r="AG17" s="4">
        <v>7.87</v>
      </c>
      <c r="AH17" s="4">
        <v>7.4</v>
      </c>
      <c r="AI17" s="4">
        <v>7.4</v>
      </c>
      <c r="AJ17" s="4">
        <v>7.39</v>
      </c>
      <c r="AK17" s="4">
        <v>7.07</v>
      </c>
      <c r="AL17" s="4">
        <v>7.2</v>
      </c>
      <c r="AM17" s="4">
        <v>6.8</v>
      </c>
      <c r="AN17" s="4">
        <v>8.2899999999999991</v>
      </c>
      <c r="AO17" s="4">
        <v>8.33</v>
      </c>
      <c r="AP17" s="4">
        <v>9.48</v>
      </c>
      <c r="AQ17" s="4">
        <v>9.1</v>
      </c>
      <c r="AR17" s="4">
        <v>9.0399999999999991</v>
      </c>
      <c r="AS17" s="4">
        <v>9</v>
      </c>
      <c r="AT17" s="4">
        <v>9.35</v>
      </c>
      <c r="AU17" s="4">
        <v>9.0249999999999986</v>
      </c>
      <c r="AV17" s="4">
        <v>9.19</v>
      </c>
      <c r="AW17" s="4">
        <v>8.77</v>
      </c>
      <c r="AX17" s="4">
        <v>9.07</v>
      </c>
      <c r="AY17" s="12">
        <v>9</v>
      </c>
      <c r="AZ17" s="12">
        <v>8.99</v>
      </c>
      <c r="BA17" s="12">
        <v>9.18</v>
      </c>
      <c r="BB17" s="15">
        <v>9.24</v>
      </c>
      <c r="BC17" s="52">
        <v>8.73</v>
      </c>
      <c r="BD17" s="52">
        <v>8.8000000000000007</v>
      </c>
      <c r="BE17" s="52">
        <v>8.92</v>
      </c>
      <c r="BF17" s="52">
        <v>8.89</v>
      </c>
      <c r="BG17" s="67">
        <v>8.64</v>
      </c>
      <c r="BH17" s="52">
        <v>8.74</v>
      </c>
      <c r="BI17" s="52">
        <v>8.8000000000000007</v>
      </c>
      <c r="BJ17" s="52">
        <v>8.27</v>
      </c>
      <c r="BK17" s="52">
        <v>7.96</v>
      </c>
      <c r="BL17" s="52">
        <v>7.3</v>
      </c>
      <c r="BM17" s="52">
        <v>7.5</v>
      </c>
      <c r="BN17" s="52">
        <v>7.6</v>
      </c>
      <c r="BO17" s="52" cm="1">
        <f t="array" aca="1" ref="BO17" ca="1">_FV(EC17,"Preço")</f>
        <v>7.6</v>
      </c>
      <c r="BP17" s="69" t="s">
        <v>14</v>
      </c>
      <c r="BQ17" s="36" cm="1">
        <f t="array" aca="1" ref="BQ17" ca="1">_FV(EC17,"Média de volume",TRUE)</f>
        <v>3530</v>
      </c>
      <c r="BR17" s="36">
        <v>600</v>
      </c>
      <c r="BS17" s="36" cm="1">
        <f t="array" aca="1" ref="BS17" ca="1">_FV(EC17,"Volume")</f>
        <v>600</v>
      </c>
      <c r="BT17" s="24" cm="1">
        <f t="array" aca="1" ref="BT17" ca="1">_FV(EC17,"Beta")</f>
        <v>1.0099</v>
      </c>
      <c r="BU17" s="71" cm="1">
        <f t="array" aca="1" ref="BU17" ca="1">_FV(EC17,"Variação (%)",TRUE)</f>
        <v>-1.2987E-2</v>
      </c>
      <c r="BW17" s="17" cm="1">
        <f t="array" aca="1" ref="BW17" ca="1">_FV(EC17,"Baixo")</f>
        <v>7.55</v>
      </c>
      <c r="BX17" s="17" cm="1">
        <f t="array" aca="1" ref="BX17" ca="1">_FV(EC17,"Alto")</f>
        <v>7.6</v>
      </c>
      <c r="BY17" s="24"/>
      <c r="BZ17" s="63">
        <f ca="1">SQRT(22.5*(BO17/VLOOKUP(BP17,Fundamentus!A:U,3,FALSE))*(BO17/VLOOKUP(BP17,Fundamentus!A:U,4,FALSE)))</f>
        <v>4.5332636815067753</v>
      </c>
      <c r="CB17" s="62">
        <f t="shared" ca="1" si="24"/>
        <v>0</v>
      </c>
      <c r="CC17" s="8"/>
      <c r="CD17" s="61">
        <f t="shared" si="25"/>
        <v>6.8</v>
      </c>
      <c r="CE17" s="61">
        <f t="shared" si="26"/>
        <v>10.1</v>
      </c>
      <c r="CF17" s="61">
        <f t="shared" si="27"/>
        <v>8.7432575757575766</v>
      </c>
      <c r="CG17" s="14"/>
      <c r="CH17" s="35">
        <f t="shared" si="1"/>
        <v>6.6776879316378803</v>
      </c>
      <c r="CI17" s="15">
        <f t="shared" si="28"/>
        <v>7.3700000000001182</v>
      </c>
      <c r="CJ17" s="35">
        <f t="shared" si="2"/>
        <v>8.0623120683623561</v>
      </c>
      <c r="CL17" s="14"/>
      <c r="CM17" s="17">
        <f t="shared" si="3"/>
        <v>2.9333333333333327</v>
      </c>
      <c r="CN17" s="17">
        <f t="shared" si="4"/>
        <v>4.8666666666666663</v>
      </c>
      <c r="CO17" s="17">
        <f t="shared" si="5"/>
        <v>6.2333333333333325</v>
      </c>
      <c r="CP17" s="38">
        <f t="shared" si="29"/>
        <v>8.1666666666666661</v>
      </c>
      <c r="CQ17" s="17">
        <f t="shared" si="6"/>
        <v>9.5333333333333314</v>
      </c>
      <c r="CR17" s="17">
        <f t="shared" si="7"/>
        <v>11.466666666666665</v>
      </c>
      <c r="CS17" s="17">
        <f t="shared" si="8"/>
        <v>12.833333333333332</v>
      </c>
      <c r="CT17" s="2" cm="1">
        <f t="array" aca="1" ref="CT17" ca="1">MAX(_xlfn._xlws.FILTER(CM17:CS17,CM17:CS17&lt;BO17))</f>
        <v>6.2333333333333325</v>
      </c>
      <c r="CU17" s="2" cm="1">
        <f t="array" aca="1" ref="CU17" ca="1">MIN(_xlfn._xlws.FILTER($CM17:$CS17,$CM17:$CS17&gt;BO17))</f>
        <v>8.1666666666666661</v>
      </c>
      <c r="CV17" s="16">
        <f t="shared" ca="1" si="46"/>
        <v>0.31016042780748676</v>
      </c>
      <c r="CW17" s="20">
        <f t="shared" ca="1" si="47"/>
        <v>-0.15508021390374338</v>
      </c>
      <c r="CX17" s="20">
        <f t="shared" ca="1" si="48"/>
        <v>-0.10338680926916226</v>
      </c>
      <c r="CY17" s="20">
        <f t="shared" ca="1" si="49"/>
        <v>-6.2032085561497349E-2</v>
      </c>
      <c r="CZ17" s="20">
        <f t="shared" ca="1" si="50"/>
        <v>-3.4462269756387415E-2</v>
      </c>
      <c r="DA17" s="20">
        <f t="shared" ca="1" si="51"/>
        <v>-1.824473104749922E-2</v>
      </c>
      <c r="DB17" s="20">
        <f t="shared" ca="1" si="52"/>
        <v>-9.3988008426511144E-3</v>
      </c>
      <c r="DC17" s="20">
        <f t="shared" ca="1" si="53"/>
        <v>-4.7716988893459497E-3</v>
      </c>
      <c r="DD17" s="21">
        <f t="shared" ca="1" si="54"/>
        <v>4.7716988893459497E-3</v>
      </c>
      <c r="DE17" s="21">
        <f t="shared" ca="1" si="55"/>
        <v>9.3988008426511144E-3</v>
      </c>
      <c r="DF17" s="21">
        <f t="shared" ca="1" si="56"/>
        <v>1.824473104749922E-2</v>
      </c>
      <c r="DG17" s="21">
        <f t="shared" ca="1" si="57"/>
        <v>3.4462269756387415E-2</v>
      </c>
      <c r="DH17" s="21">
        <f t="shared" ca="1" si="58"/>
        <v>6.2032085561497349E-2</v>
      </c>
      <c r="DI17" s="21">
        <f t="shared" ca="1" si="59"/>
        <v>0.10338680926916226</v>
      </c>
      <c r="DJ17" s="21">
        <f t="shared" ca="1" si="60"/>
        <v>0.15508021390374338</v>
      </c>
      <c r="DL17" s="16" cm="1">
        <f t="array" aca="1" ref="DL17" ca="1">MAX(_xlfn._xlws.FILTER(CW17:DJ17,CW17:DJ17&lt;BU17))</f>
        <v>-1.824473104749922E-2</v>
      </c>
      <c r="DM17" s="16" cm="1">
        <f t="array" aca="1" ref="DM17" ca="1">MIN(_xlfn._xlws.FILTER(CW17:DJ17,CW17:DJ17&gt;BU17))</f>
        <v>-9.3988008426511144E-3</v>
      </c>
      <c r="DN17" s="2" cm="1">
        <f t="array" aca="1" ref="DN17" ca="1">_FV(EC17,"Fechamento anterior",TRUE)</f>
        <v>7.7</v>
      </c>
      <c r="DO17" s="28">
        <f t="shared" ca="1" si="15"/>
        <v>0.59436576354678761</v>
      </c>
      <c r="DP17" s="15">
        <f t="shared" ca="1" si="61"/>
        <v>7.5595155709342565</v>
      </c>
      <c r="DQ17" s="15">
        <f t="shared" ca="1" si="62"/>
        <v>7.6276292335115867</v>
      </c>
      <c r="DR17" s="9"/>
      <c r="DS17" s="9"/>
      <c r="DT17" s="9"/>
      <c r="DU17" s="89">
        <v>5.0277530940514362E-3</v>
      </c>
      <c r="DV17" s="89">
        <f t="shared" ca="1" si="18"/>
        <v>8.8459302048481056E-3</v>
      </c>
      <c r="DW17" s="72">
        <f t="shared" ca="1" si="19"/>
        <v>0.3322201222693964</v>
      </c>
      <c r="DX17" s="37"/>
      <c r="DY17" s="35">
        <f t="shared" si="39"/>
        <v>0.3461560341811189</v>
      </c>
      <c r="DZ17" s="56"/>
      <c r="EA17" s="56"/>
      <c r="EC17" s="2" t="e" vm="17">
        <v>#VALUE!</v>
      </c>
      <c r="EE17" s="10" cm="1">
        <f t="array" aca="1" ref="EE17" ca="1">_FV(EC17,"Ações em circulação",TRUE)</f>
        <v>101983400</v>
      </c>
      <c r="EF17" s="18">
        <f>VLOOKUP(BP17,Fundamentus!A:U,5,FALSE)</f>
        <v>1.591</v>
      </c>
      <c r="EG17" s="2">
        <f t="shared" ca="1" si="20"/>
        <v>487161433.06096798</v>
      </c>
      <c r="EH17" s="17">
        <v>5992085.6266499059</v>
      </c>
      <c r="EI17" s="17">
        <f t="shared" ca="1" si="21"/>
        <v>5992085.6266499059</v>
      </c>
      <c r="EK17" s="16">
        <f t="shared" ca="1" si="22"/>
        <v>0</v>
      </c>
      <c r="EL17" s="32" t="str">
        <f>IF(VLOOKUP(BP17,Fundamentus!A:U,3,FALSE)&lt;15,"Bom",IF(VLOOKUP(BP17,Fundamentus!A:U,3,FALSE)&gt;15,"Ruim","n/a"))</f>
        <v>Ruim</v>
      </c>
      <c r="EM17" s="28" t="str">
        <f>IF(VLOOKUP(BP17,Fundamentus!A:U,4,FALSE)&lt;1,"Baixo",IF(VLOOKUP(BP17,Fundamentus!A:U,4,FALSE)&lt;1.5,"Moderado",IF(VLOOKUP(BP17,Fundamentus!A:U,4,FALSE)&gt;1.5,"Alto","n/a")))</f>
        <v>Baixo</v>
      </c>
      <c r="EN17" s="17" t="str">
        <f>IF(VLOOKUP(BP17,Fundamentus!A:U,8,FALSE)&lt;0,"Risco elevado",IF(VLOOKUP(BP17,Fundamentus!A:U,8,FALSE)&lt;1,"Saudável",IF(VLOOKUP(BP17,Fundamentus!A:U,8,FALSE)&lt;3,"Estável",IF(VLOOKUP(BP17,Fundamentus!A:U,8,FALSE)&gt;3,"Alerta","n/a"))))</f>
        <v>Saudável</v>
      </c>
      <c r="EO17" s="28" t="str">
        <f t="shared" si="23"/>
        <v>Bom</v>
      </c>
      <c r="EP17" s="17" t="str">
        <f>IF(VLOOKUP(BP17,Fundamentus!A:U,12,FALSE)&lt;2,"Subvalorizada",IF(VLOOKUP(BP17,Fundamentus!A:U,12,FALSE)&lt;6,"Muita barata",IF(VLOOKUP(BP17,Fundamentus!A:U,12,FALSE)&lt;6,"Barata",IF(VLOOKUP(BP17,Fundamentus!A:U,12,FALSE)&lt;8,"Atrativa",IF(VLOOKUP(BP17,Fundamentus!A:U,12,FALSE)&gt;8,"Supervalorizada","n/a")))))</f>
        <v>Supervalorizada</v>
      </c>
      <c r="ER17" s="17" t="str">
        <f>IF(VLOOKUP(BP17,Fundamentus!A:U,17,FALSE)&lt;0.1,"Fraco retorno",IF(VLOOKUP(BP17,Fundamentus!A:U,17,FALSE)&gt;0.1,"Bom retorno","n/a"))</f>
        <v>Fraco retorno</v>
      </c>
      <c r="ES17" s="17" t="str">
        <f>IF(VLOOKUP(BP17,Fundamentus!A:U,16,FALSE)&lt;0.1,"Ineficiente",IF(VLOOKUP(BP17,Fundamentus!A:U,16,FALSE)&gt;0.1,"Eficiente","n/a"))</f>
        <v>Ineficiente</v>
      </c>
      <c r="ET17" s="33" t="str">
        <f>IF(VLOOKUP(BP17,Fundamentus!A:U,16,FALSE)&lt;0.1,"Oper. Ineficiente",IF(VLOOKUP(BP17,Fundamentus!A:U,16,FALSE)&gt;0.1,"Oper.Eficiente","n/a"))</f>
        <v>Oper. Ineficiente</v>
      </c>
      <c r="EU17" s="34">
        <f>VLOOKUP(BP17,Fundamentus!A:U,14,FALSE)</f>
        <v>1.23E-2</v>
      </c>
      <c r="EV17" s="17" t="str">
        <f>IF(VLOOKUP(BP17,Fundamentus!A:U,21,FALSE)&lt;0,"Negativo",IF(VLOOKUP(BP17,Fundamentus!A:U,21,FALSE)&lt;0.05,"Fraco",IF(VLOOKUP(BP17,Fundamentus!A:U,21,FALSE)&lt;0.1,"Bom",IF(VLOOKUP(BP17,Fundamentus!A:U,21,FALSE)&gt;0.1,"Muito bom","n/a"))))</f>
        <v>Muito bom</v>
      </c>
      <c r="EX17" s="29" t="str">
        <f>IF(VLOOKUP(BP17,Fundamentus!A:U,15,FALSE)&gt;1,"Bom",IF(VLOOKUP(BP17,Fundamentus!A:U,15,FALSE)&lt;1,"Ruim","n/a"))</f>
        <v>Bom</v>
      </c>
      <c r="EY17" s="17" t="str">
        <f>IF(VLOOKUP(BP17,Fundamentus!A:U,20,FALSE)&lt;0.5,"Baixa",IF(VLOOKUP(BP17,Fundamentus!A:U,20,FALSE)&lt;1,"Moderada",IF(VLOOKUP(BP17,Fundamentus!A:U,20,FALSE)&lt;2,"Alerta",IF(VLOOKUP(BP17,Fundamentus!A:U,20,FALSE)&gt;2,"Alta","n/a"))))</f>
        <v>Baixa</v>
      </c>
    </row>
    <row r="18" spans="1:156" s="2" customFormat="1" ht="11.25" x14ac:dyDescent="0.2">
      <c r="A18" s="4">
        <v>39.89</v>
      </c>
      <c r="B18" s="4">
        <v>41.67</v>
      </c>
      <c r="C18" s="4">
        <v>36.69</v>
      </c>
      <c r="D18" s="4">
        <v>36.590000000000003</v>
      </c>
      <c r="E18" s="4">
        <v>38.76</v>
      </c>
      <c r="F18" s="4">
        <v>36.94</v>
      </c>
      <c r="G18" s="4">
        <v>34.68</v>
      </c>
      <c r="H18" s="4">
        <v>36.72</v>
      </c>
      <c r="I18" s="4">
        <v>38.08</v>
      </c>
      <c r="J18" s="4">
        <v>37.520000000000003</v>
      </c>
      <c r="K18" s="4">
        <v>38.15</v>
      </c>
      <c r="L18" s="4">
        <v>38.69</v>
      </c>
      <c r="M18" s="4">
        <v>37.64</v>
      </c>
      <c r="N18" s="4">
        <v>35.729999999999997</v>
      </c>
      <c r="O18" s="4">
        <v>36.51</v>
      </c>
      <c r="P18" s="4">
        <v>38.51</v>
      </c>
      <c r="Q18" s="4">
        <v>36.89</v>
      </c>
      <c r="R18" s="4">
        <v>39.369999999999997</v>
      </c>
      <c r="S18" s="4">
        <v>37.549999999999997</v>
      </c>
      <c r="T18" s="4">
        <v>36.700000000000003</v>
      </c>
      <c r="U18" s="4">
        <v>36.26</v>
      </c>
      <c r="V18" s="4">
        <v>36.11</v>
      </c>
      <c r="W18" s="4">
        <v>37.840000000000003</v>
      </c>
      <c r="X18" s="4">
        <v>37.619999999999997</v>
      </c>
      <c r="Y18" s="4">
        <v>36.08</v>
      </c>
      <c r="Z18" s="4">
        <v>36.15</v>
      </c>
      <c r="AA18" s="4">
        <v>35.42</v>
      </c>
      <c r="AB18" s="4">
        <v>36.17</v>
      </c>
      <c r="AC18" s="4">
        <v>37.270000000000003</v>
      </c>
      <c r="AD18" s="4">
        <v>39.42</v>
      </c>
      <c r="AE18" s="4">
        <v>38.82</v>
      </c>
      <c r="AF18" s="4">
        <v>39.03</v>
      </c>
      <c r="AG18" s="4">
        <v>38.1</v>
      </c>
      <c r="AH18" s="4">
        <v>36.86</v>
      </c>
      <c r="AI18" s="4">
        <v>35.659999999999997</v>
      </c>
      <c r="AJ18" s="4">
        <v>36.380000000000003</v>
      </c>
      <c r="AK18" s="4">
        <v>36.94</v>
      </c>
      <c r="AL18" s="4">
        <v>37.200000000000003</v>
      </c>
      <c r="AM18" s="4">
        <v>36.64</v>
      </c>
      <c r="AN18" s="4">
        <v>37.69</v>
      </c>
      <c r="AO18" s="4">
        <v>36.58</v>
      </c>
      <c r="AP18" s="4">
        <v>37.44</v>
      </c>
      <c r="AQ18" s="4">
        <v>38.39</v>
      </c>
      <c r="AR18" s="4">
        <v>35.93</v>
      </c>
      <c r="AS18" s="4">
        <v>34.630000000000003</v>
      </c>
      <c r="AT18" s="4">
        <v>35.5</v>
      </c>
      <c r="AU18" s="4">
        <v>36.604999999999997</v>
      </c>
      <c r="AV18" s="4">
        <v>37.43</v>
      </c>
      <c r="AW18" s="4">
        <v>34.549999999999997</v>
      </c>
      <c r="AX18" s="4">
        <v>31.85</v>
      </c>
      <c r="AY18" s="12">
        <v>30.85</v>
      </c>
      <c r="AZ18" s="12">
        <v>30.52</v>
      </c>
      <c r="BA18" s="12">
        <v>29.99</v>
      </c>
      <c r="BB18" s="15">
        <v>30.71</v>
      </c>
      <c r="BC18" s="52">
        <v>31.87</v>
      </c>
      <c r="BD18" s="52">
        <v>31.4</v>
      </c>
      <c r="BE18" s="52">
        <v>30.9</v>
      </c>
      <c r="BF18" s="52">
        <v>29.63</v>
      </c>
      <c r="BG18" s="67">
        <v>32.53</v>
      </c>
      <c r="BH18" s="52">
        <v>32.82</v>
      </c>
      <c r="BI18" s="52">
        <v>31.21</v>
      </c>
      <c r="BJ18" s="52">
        <v>32.119999999999997</v>
      </c>
      <c r="BK18" s="52">
        <v>32.6</v>
      </c>
      <c r="BL18" s="52">
        <v>30.99</v>
      </c>
      <c r="BM18" s="52">
        <v>31.98</v>
      </c>
      <c r="BN18" s="52">
        <v>32.21</v>
      </c>
      <c r="BO18" s="52" cm="1">
        <f t="array" aca="1" ref="BO18" ca="1">_FV(EC18,"Preço")</f>
        <v>32.21</v>
      </c>
      <c r="BP18" s="69" t="s">
        <v>15</v>
      </c>
      <c r="BQ18" s="36" cm="1">
        <f t="array" aca="1" ref="BQ18" ca="1">_FV(EC18,"Média de volume",TRUE)</f>
        <v>23476880</v>
      </c>
      <c r="BR18" s="36">
        <v>24021300</v>
      </c>
      <c r="BS18" s="36" cm="1">
        <f t="array" aca="1" ref="BS18" ca="1">_FV(EC18,"Volume")</f>
        <v>24021300</v>
      </c>
      <c r="BT18" s="24" cm="1">
        <f t="array" aca="1" ref="BT18" ca="1">_FV(EC18,"Beta")</f>
        <v>1.0201</v>
      </c>
      <c r="BU18" s="71" cm="1">
        <f t="array" aca="1" ref="BU18" ca="1">_FV(EC18,"Variação (%)",TRUE)</f>
        <v>-1.3173999999999998E-2</v>
      </c>
      <c r="BW18" s="17" cm="1">
        <f t="array" aca="1" ref="BW18" ca="1">_FV(EC18,"Baixo")</f>
        <v>32.04</v>
      </c>
      <c r="BX18" s="17" cm="1">
        <f t="array" aca="1" ref="BX18" ca="1">_FV(EC18,"Alto")</f>
        <v>32.909999999999997</v>
      </c>
      <c r="BY18" s="24"/>
      <c r="BZ18" s="63">
        <f ca="1">SQRT(22.5*(BO18/VLOOKUP(BP18,Fundamentus!A:U,3,FALSE))*(BO18/VLOOKUP(BP18,Fundamentus!A:U,4,FALSE)))</f>
        <v>51.177009350055009</v>
      </c>
      <c r="CB18" s="62">
        <f t="shared" ca="1" si="24"/>
        <v>0</v>
      </c>
      <c r="CC18" s="8"/>
      <c r="CD18" s="61">
        <f t="shared" si="25"/>
        <v>29.63</v>
      </c>
      <c r="CE18" s="61">
        <f t="shared" si="26"/>
        <v>41.67</v>
      </c>
      <c r="CF18" s="61">
        <f t="shared" si="27"/>
        <v>35.699621212121215</v>
      </c>
      <c r="CG18" s="14"/>
      <c r="CH18" s="35">
        <f t="shared" si="1"/>
        <v>30.827805987705588</v>
      </c>
      <c r="CI18" s="15">
        <f t="shared" si="28"/>
        <v>31.900000000000006</v>
      </c>
      <c r="CJ18" s="35">
        <f t="shared" si="2"/>
        <v>32.972194012294423</v>
      </c>
      <c r="CL18" s="14"/>
      <c r="CM18" s="17">
        <f t="shared" si="3"/>
        <v>15.296666666666656</v>
      </c>
      <c r="CN18" s="17">
        <f t="shared" si="4"/>
        <v>22.463333333333328</v>
      </c>
      <c r="CO18" s="17">
        <f t="shared" si="5"/>
        <v>27.336666666666659</v>
      </c>
      <c r="CP18" s="38">
        <f t="shared" si="29"/>
        <v>34.50333333333333</v>
      </c>
      <c r="CQ18" s="17">
        <f t="shared" si="6"/>
        <v>39.376666666666665</v>
      </c>
      <c r="CR18" s="17">
        <f t="shared" si="7"/>
        <v>46.543333333333337</v>
      </c>
      <c r="CS18" s="17">
        <f t="shared" si="8"/>
        <v>51.416666666666664</v>
      </c>
      <c r="CT18" s="2" cm="1">
        <f t="array" aca="1" ref="CT18" ca="1">MAX(_xlfn._xlws.FILTER(CM18:CS18,CM18:CS18&lt;BO18))</f>
        <v>27.336666666666659</v>
      </c>
      <c r="CU18" s="2" cm="1">
        <f t="array" aca="1" ref="CU18" ca="1">MIN(_xlfn._xlws.FILTER($CM18:$CS18,$CM18:$CS18&gt;BO18))</f>
        <v>34.50333333333333</v>
      </c>
      <c r="CV18" s="16">
        <f t="shared" ca="1" si="46"/>
        <v>0.2621631508352642</v>
      </c>
      <c r="CW18" s="20">
        <f t="shared" ca="1" si="47"/>
        <v>-0.1310815754176321</v>
      </c>
      <c r="CX18" s="20">
        <f t="shared" ca="1" si="48"/>
        <v>-8.7387716945088068E-2</v>
      </c>
      <c r="CY18" s="20">
        <f t="shared" ca="1" si="49"/>
        <v>-5.2432630167052838E-2</v>
      </c>
      <c r="CZ18" s="20">
        <f t="shared" ca="1" si="50"/>
        <v>-2.9129238981696021E-2</v>
      </c>
      <c r="DA18" s="20">
        <f t="shared" ca="1" si="51"/>
        <v>-1.5421361813839071E-2</v>
      </c>
      <c r="DB18" s="20">
        <f t="shared" ca="1" si="52"/>
        <v>-7.9443379040989148E-3</v>
      </c>
      <c r="DC18" s="20">
        <f t="shared" ca="1" si="53"/>
        <v>-4.0332792436194491E-3</v>
      </c>
      <c r="DD18" s="21">
        <f t="shared" ca="1" si="54"/>
        <v>4.0332792436194491E-3</v>
      </c>
      <c r="DE18" s="21">
        <f t="shared" ca="1" si="55"/>
        <v>7.9443379040989148E-3</v>
      </c>
      <c r="DF18" s="21">
        <f t="shared" ca="1" si="56"/>
        <v>1.5421361813839071E-2</v>
      </c>
      <c r="DG18" s="21">
        <f t="shared" ca="1" si="57"/>
        <v>2.9129238981696021E-2</v>
      </c>
      <c r="DH18" s="21">
        <f t="shared" ca="1" si="58"/>
        <v>5.2432630167052838E-2</v>
      </c>
      <c r="DI18" s="21">
        <f t="shared" ca="1" si="59"/>
        <v>8.7387716945088068E-2</v>
      </c>
      <c r="DJ18" s="21">
        <f t="shared" ca="1" si="60"/>
        <v>0.1310815754176321</v>
      </c>
      <c r="DL18" s="16" cm="1">
        <f t="array" aca="1" ref="DL18" ca="1">MAX(_xlfn._xlws.FILTER(CW18:DJ18,CW18:DJ18&lt;BU18))</f>
        <v>-1.5421361813839071E-2</v>
      </c>
      <c r="DM18" s="16" cm="1">
        <f t="array" aca="1" ref="DM18" ca="1">MIN(_xlfn._xlws.FILTER(CW18:DJ18,CW18:DJ18&gt;BU18))</f>
        <v>-7.9443379040989148E-3</v>
      </c>
      <c r="DN18" s="2" cm="1">
        <f t="array" aca="1" ref="DN18" ca="1">_FV(EC18,"Fechamento anterior",TRUE)</f>
        <v>32.64</v>
      </c>
      <c r="DO18" s="28">
        <f t="shared" ca="1" si="15"/>
        <v>0.30056640624999481</v>
      </c>
      <c r="DP18" s="15">
        <f t="shared" ca="1" si="61"/>
        <v>32.136646750396295</v>
      </c>
      <c r="DQ18" s="15">
        <f t="shared" ca="1" si="62"/>
        <v>32.380696810810214</v>
      </c>
      <c r="DR18" s="9"/>
      <c r="DS18" s="9"/>
      <c r="DT18" s="9"/>
      <c r="DU18" s="89">
        <v>8.7856845931497257E-3</v>
      </c>
      <c r="DV18" s="89">
        <f t="shared" ca="1" si="18"/>
        <v>7.4770239097401558E-3</v>
      </c>
      <c r="DW18" s="72">
        <f t="shared" ca="1" si="19"/>
        <v>0.28912677784556695</v>
      </c>
      <c r="DX18" s="37"/>
      <c r="DY18" s="35">
        <f t="shared" si="39"/>
        <v>0.53609700614720923</v>
      </c>
      <c r="DZ18" s="56"/>
      <c r="EA18" s="56"/>
      <c r="EC18" s="2" t="e" vm="18">
        <v>#VALUE!</v>
      </c>
      <c r="EE18" s="10" cm="1">
        <f t="array" aca="1" ref="EE18" ca="1">_FV(EC18,"Ações em circulação",TRUE)</f>
        <v>12888730000</v>
      </c>
      <c r="EF18" s="18">
        <f>VLOOKUP(BP18,Fundamentus!A:U,5,FALSE)</f>
        <v>0.83099999999999996</v>
      </c>
      <c r="EG18" s="2">
        <f t="shared" ca="1" si="20"/>
        <v>499573999157.64142</v>
      </c>
      <c r="EH18" s="17">
        <v>48858337117.617332</v>
      </c>
      <c r="EI18" s="17">
        <f t="shared" ca="1" si="21"/>
        <v>48858337117.617332</v>
      </c>
      <c r="EK18" s="16">
        <f t="shared" ca="1" si="22"/>
        <v>0</v>
      </c>
      <c r="EL18" s="32" t="str">
        <f>IF(VLOOKUP(BP18,Fundamentus!A:U,3,FALSE)&lt;15,"Bom",IF(VLOOKUP(BP18,Fundamentus!A:U,3,FALSE)&gt;15,"Ruim","n/a"))</f>
        <v>Bom</v>
      </c>
      <c r="EM18" s="28" t="str">
        <f>IF(VLOOKUP(BP18,Fundamentus!A:U,4,FALSE)&lt;1,"Baixo",IF(VLOOKUP(BP18,Fundamentus!A:U,4,FALSE)&lt;1.5,"Moderado",IF(VLOOKUP(BP18,Fundamentus!A:U,4,FALSE)&gt;1.5,"Alto","n/a")))</f>
        <v>Moderado</v>
      </c>
      <c r="EN18" s="17" t="str">
        <f>IF(VLOOKUP(BP18,Fundamentus!A:U,8,FALSE)&lt;0,"Risco elevado",IF(VLOOKUP(BP18,Fundamentus!A:U,8,FALSE)&lt;1,"Saudável",IF(VLOOKUP(BP18,Fundamentus!A:U,8,FALSE)&lt;3,"Estável",IF(VLOOKUP(BP18,Fundamentus!A:U,8,FALSE)&gt;3,"Alerta","n/a"))))</f>
        <v>Risco elevado</v>
      </c>
      <c r="EO18" s="28" t="str">
        <f t="shared" si="23"/>
        <v>Ruim</v>
      </c>
      <c r="EP18" s="17" t="str">
        <f>IF(VLOOKUP(BP18,Fundamentus!A:U,12,FALSE)&lt;2,"Subvalorizada",IF(VLOOKUP(BP18,Fundamentus!A:U,12,FALSE)&lt;6,"Muita barata",IF(VLOOKUP(BP18,Fundamentus!A:U,12,FALSE)&lt;6,"Barata",IF(VLOOKUP(BP18,Fundamentus!A:U,12,FALSE)&lt;8,"Atrativa",IF(VLOOKUP(BP18,Fundamentus!A:U,12,FALSE)&gt;8,"Supervalorizada","n/a")))))</f>
        <v>Muita barata</v>
      </c>
      <c r="ER18" s="17" t="str">
        <f>IF(VLOOKUP(BP18,Fundamentus!A:U,17,FALSE)&lt;0.1,"Fraco retorno",IF(VLOOKUP(BP18,Fundamentus!A:U,17,FALSE)&gt;0.1,"Bom retorno","n/a"))</f>
        <v>Bom retorno</v>
      </c>
      <c r="ES18" s="17" t="str">
        <f>IF(VLOOKUP(BP18,Fundamentus!A:U,16,FALSE)&lt;0.1,"Ineficiente",IF(VLOOKUP(BP18,Fundamentus!A:U,16,FALSE)&gt;0.1,"Eficiente","n/a"))</f>
        <v>Eficiente</v>
      </c>
      <c r="ET18" s="33" t="str">
        <f>IF(VLOOKUP(BP18,Fundamentus!A:U,16,FALSE)&lt;0.1,"Oper. Ineficiente",IF(VLOOKUP(BP18,Fundamentus!A:U,16,FALSE)&gt;0.1,"Oper.Eficiente","n/a"))</f>
        <v>Oper.Eficiente</v>
      </c>
      <c r="EU18" s="34">
        <f>VLOOKUP(BP18,Fundamentus!A:U,14,FALSE)</f>
        <v>9.7799999999999998E-2</v>
      </c>
      <c r="EV18" s="17" t="str">
        <f>IF(VLOOKUP(BP18,Fundamentus!A:U,21,FALSE)&lt;0,"Negativo",IF(VLOOKUP(BP18,Fundamentus!A:U,21,FALSE)&lt;0.05,"Fraco",IF(VLOOKUP(BP18,Fundamentus!A:U,21,FALSE)&lt;0.1,"Bom",IF(VLOOKUP(BP18,Fundamentus!A:U,21,FALSE)&gt;0.1,"Muito bom","n/a"))))</f>
        <v>Muito bom</v>
      </c>
      <c r="EX18" s="29" t="str">
        <f>IF(VLOOKUP(BP18,Fundamentus!A:U,15,FALSE)&gt;1,"Bom",IF(VLOOKUP(BP18,Fundamentus!A:U,15,FALSE)&lt;1,"Ruim","n/a"))</f>
        <v>Ruim</v>
      </c>
      <c r="EY18" s="17" t="str">
        <f>IF(VLOOKUP(BP18,Fundamentus!A:U,20,FALSE)&lt;0.5,"Baixa",IF(VLOOKUP(BP18,Fundamentus!A:U,20,FALSE)&lt;1,"Moderada",IF(VLOOKUP(BP18,Fundamentus!A:U,20,FALSE)&lt;2,"Alerta",IF(VLOOKUP(BP18,Fundamentus!A:U,20,FALSE)&gt;2,"Alta","n/a"))))</f>
        <v>Moderada</v>
      </c>
    </row>
    <row r="19" spans="1:156" s="2" customFormat="1" ht="11.25" x14ac:dyDescent="0.2">
      <c r="A19" s="4">
        <v>13.53</v>
      </c>
      <c r="B19" s="4">
        <v>13.45</v>
      </c>
      <c r="C19" s="4">
        <v>13.63</v>
      </c>
      <c r="D19" s="4">
        <v>12.95</v>
      </c>
      <c r="E19" s="4">
        <v>12.09</v>
      </c>
      <c r="F19" s="4">
        <v>12</v>
      </c>
      <c r="G19" s="4">
        <v>11.66</v>
      </c>
      <c r="H19" s="4">
        <v>10.79</v>
      </c>
      <c r="I19" s="4">
        <v>10.3</v>
      </c>
      <c r="J19" s="4">
        <v>11.45</v>
      </c>
      <c r="K19" s="4">
        <v>11.24</v>
      </c>
      <c r="L19" s="4">
        <v>10.54</v>
      </c>
      <c r="M19" s="4">
        <v>9.84</v>
      </c>
      <c r="N19" s="4">
        <v>10.199999999999999</v>
      </c>
      <c r="O19" s="4">
        <v>10.27</v>
      </c>
      <c r="P19" s="4">
        <v>10.25</v>
      </c>
      <c r="Q19" s="4">
        <v>9.73</v>
      </c>
      <c r="R19" s="4">
        <v>9.57</v>
      </c>
      <c r="S19" s="4">
        <v>9.4499999999999993</v>
      </c>
      <c r="T19" s="4">
        <v>8.8000000000000007</v>
      </c>
      <c r="U19" s="4">
        <v>7.7</v>
      </c>
      <c r="V19" s="4">
        <v>8.1199999999999992</v>
      </c>
      <c r="W19" s="4">
        <v>6.97</v>
      </c>
      <c r="X19" s="4">
        <v>6.72</v>
      </c>
      <c r="Y19" s="4">
        <v>7.23</v>
      </c>
      <c r="Z19" s="4">
        <v>7.27</v>
      </c>
      <c r="AA19" s="4">
        <v>7.33</v>
      </c>
      <c r="AB19" s="4">
        <v>7</v>
      </c>
      <c r="AC19" s="4">
        <v>7.06</v>
      </c>
      <c r="AD19" s="4">
        <v>7.2</v>
      </c>
      <c r="AE19" s="4">
        <v>6.6</v>
      </c>
      <c r="AF19" s="4">
        <v>6.16</v>
      </c>
      <c r="AG19" s="4">
        <v>5.75</v>
      </c>
      <c r="AH19" s="4">
        <v>5.79</v>
      </c>
      <c r="AI19" s="4">
        <v>5.73</v>
      </c>
      <c r="AJ19" s="4">
        <v>5.42</v>
      </c>
      <c r="AK19" s="4">
        <v>5.62</v>
      </c>
      <c r="AL19" s="4">
        <v>5.82</v>
      </c>
      <c r="AM19" s="4">
        <v>6.15</v>
      </c>
      <c r="AN19" s="4">
        <v>6.74</v>
      </c>
      <c r="AO19" s="4">
        <v>7.06</v>
      </c>
      <c r="AP19" s="4">
        <v>7.48</v>
      </c>
      <c r="AQ19" s="4">
        <v>6.94</v>
      </c>
      <c r="AR19" s="4">
        <v>6.67</v>
      </c>
      <c r="AS19" s="4">
        <v>6.8</v>
      </c>
      <c r="AT19" s="4">
        <v>7.55</v>
      </c>
      <c r="AU19" s="4">
        <v>7.7</v>
      </c>
      <c r="AV19" s="4">
        <v>7.88</v>
      </c>
      <c r="AW19" s="4">
        <v>7.98</v>
      </c>
      <c r="AX19" s="4">
        <v>8.3000000000000007</v>
      </c>
      <c r="AY19" s="12">
        <v>8.26</v>
      </c>
      <c r="AZ19" s="12">
        <v>9.24</v>
      </c>
      <c r="BA19" s="12">
        <v>9.19</v>
      </c>
      <c r="BB19" s="15">
        <v>9.4</v>
      </c>
      <c r="BC19" s="52">
        <v>9.64</v>
      </c>
      <c r="BD19" s="52">
        <v>10.050000000000001</v>
      </c>
      <c r="BE19" s="52">
        <v>11.22</v>
      </c>
      <c r="BF19" s="52">
        <v>11.21</v>
      </c>
      <c r="BG19" s="67">
        <v>10.91</v>
      </c>
      <c r="BH19" s="52">
        <v>10.78</v>
      </c>
      <c r="BI19" s="52">
        <v>11.04</v>
      </c>
      <c r="BJ19" s="52">
        <v>10.3</v>
      </c>
      <c r="BK19" s="52">
        <v>9.98</v>
      </c>
      <c r="BL19" s="52">
        <v>9.7200000000000006</v>
      </c>
      <c r="BM19" s="52">
        <v>9.6999999999999993</v>
      </c>
      <c r="BN19" s="52">
        <v>9.6999999999999993</v>
      </c>
      <c r="BO19" s="52" cm="1">
        <f t="array" aca="1" ref="BO19" ca="1">_FV(EC19,"Preço")</f>
        <v>9.6999999999999993</v>
      </c>
      <c r="BP19" s="69" t="s">
        <v>182</v>
      </c>
      <c r="BQ19" s="36" cm="1">
        <f t="array" aca="1" ref="BQ19" ca="1">_FV(EC19,"Média de volume",TRUE)</f>
        <v>13638060</v>
      </c>
      <c r="BR19" s="36">
        <v>13307000</v>
      </c>
      <c r="BS19" s="36" cm="1">
        <f t="array" aca="1" ref="BS19" ca="1">_FV(EC19,"Volume")</f>
        <v>13307000</v>
      </c>
      <c r="BT19" s="24" cm="1">
        <f t="array" aca="1" ref="BT19" ca="1">_FV(EC19,"Beta")</f>
        <v>1.4584999999999999</v>
      </c>
      <c r="BU19" s="71" cm="1">
        <f t="array" aca="1" ref="BU19" ca="1">_FV(EC19,"Variação (%)",TRUE)</f>
        <v>3.0817999999999998E-2</v>
      </c>
      <c r="BW19" s="17" cm="1">
        <f t="array" aca="1" ref="BW19" ca="1">_FV(EC19,"Baixo")</f>
        <v>9.48</v>
      </c>
      <c r="BX19" s="17" cm="1">
        <f t="array" aca="1" ref="BX19" ca="1">_FV(EC19,"Alto")</f>
        <v>9.84</v>
      </c>
      <c r="BY19" s="24"/>
      <c r="BZ19" s="63">
        <f ca="1">SQRT(22.5*(BO19/VLOOKUP(BP19,Fundamentus!A:U,3,FALSE))*(BO19/VLOOKUP(BP19,Fundamentus!A:U,4,FALSE)))</f>
        <v>7.4138743823118913</v>
      </c>
      <c r="CB19" s="62">
        <f t="shared" ca="1" si="24"/>
        <v>0</v>
      </c>
      <c r="CC19" s="8"/>
      <c r="CD19" s="61">
        <f t="shared" si="25"/>
        <v>5.42</v>
      </c>
      <c r="CE19" s="61">
        <f t="shared" si="26"/>
        <v>13.63</v>
      </c>
      <c r="CF19" s="61">
        <f t="shared" si="27"/>
        <v>8.9215151515151518</v>
      </c>
      <c r="CG19" s="14"/>
      <c r="CH19" s="35">
        <f t="shared" si="1"/>
        <v>9.0894258825646563</v>
      </c>
      <c r="CI19" s="15">
        <f t="shared" si="28"/>
        <v>9.5599999999999454</v>
      </c>
      <c r="CJ19" s="35">
        <f t="shared" si="2"/>
        <v>10.030574117435235</v>
      </c>
      <c r="CL19" s="14"/>
      <c r="CM19" s="17">
        <f t="shared" si="3"/>
        <v>-2.6733333333333338</v>
      </c>
      <c r="CN19" s="17">
        <f t="shared" si="4"/>
        <v>1.3733333333333331</v>
      </c>
      <c r="CO19" s="17">
        <f t="shared" si="5"/>
        <v>5.5366666666666671</v>
      </c>
      <c r="CP19" s="38">
        <f t="shared" si="29"/>
        <v>9.5833333333333339</v>
      </c>
      <c r="CQ19" s="17">
        <f t="shared" si="6"/>
        <v>13.746666666666668</v>
      </c>
      <c r="CR19" s="17">
        <f t="shared" si="7"/>
        <v>17.793333333333337</v>
      </c>
      <c r="CS19" s="17">
        <f t="shared" si="8"/>
        <v>21.956666666666671</v>
      </c>
      <c r="CT19" s="2" cm="1">
        <f t="array" aca="1" ref="CT19" ca="1">MAX(_xlfn._xlws.FILTER(CM19:CS19,CM19:CS19&lt;BO19))</f>
        <v>9.5833333333333339</v>
      </c>
      <c r="CU19" s="2" cm="1">
        <f t="array" aca="1" ref="CU19" ca="1">MIN(_xlfn._xlws.FILTER($CM19:$CS19,$CM19:$CS19&gt;BO19))</f>
        <v>13.746666666666668</v>
      </c>
      <c r="CV19" s="16">
        <f t="shared" ref="CV19:CV50" ca="1" si="63">(CU19/CT19)-1</f>
        <v>0.43443478260869561</v>
      </c>
      <c r="CW19" s="20">
        <f t="shared" ref="CW19:CW50" ca="1" si="64">-$CV19/2</f>
        <v>-0.21721739130434781</v>
      </c>
      <c r="CX19" s="20">
        <f t="shared" ref="CX19:CX50" ca="1" si="65">-$CV19/3</f>
        <v>-0.14481159420289855</v>
      </c>
      <c r="CY19" s="20">
        <f t="shared" ref="CY19:CY50" ca="1" si="66">-$CV19/5</f>
        <v>-8.6886956521739125E-2</v>
      </c>
      <c r="CZ19" s="20">
        <f t="shared" ref="CZ19:CZ50" ca="1" si="67">-$CV19/9</f>
        <v>-4.8270531400966182E-2</v>
      </c>
      <c r="DA19" s="20">
        <f t="shared" ref="DA19:DA50" ca="1" si="68">-$CV19/17</f>
        <v>-2.5554987212276212E-2</v>
      </c>
      <c r="DB19" s="20">
        <f t="shared" ref="DB19:DB50" ca="1" si="69">-$CV19/33</f>
        <v>-1.3164690382081685E-2</v>
      </c>
      <c r="DC19" s="20">
        <f t="shared" ref="DC19:DC50" ca="1" si="70">-$CV19/65</f>
        <v>-6.6836120401337785E-3</v>
      </c>
      <c r="DD19" s="21">
        <f t="shared" ref="DD19:DD50" ca="1" si="71">-$CV19/65*-1</f>
        <v>6.6836120401337785E-3</v>
      </c>
      <c r="DE19" s="21">
        <f t="shared" ref="DE19:DE50" ca="1" si="72">-$CV19/33*-1</f>
        <v>1.3164690382081685E-2</v>
      </c>
      <c r="DF19" s="21">
        <f t="shared" ref="DF19:DF50" ca="1" si="73">-$CV19/17*-1</f>
        <v>2.5554987212276212E-2</v>
      </c>
      <c r="DG19" s="21">
        <f t="shared" ref="DG19:DG50" ca="1" si="74">-$CV19/9*-1</f>
        <v>4.8270531400966182E-2</v>
      </c>
      <c r="DH19" s="21">
        <f t="shared" ref="DH19:DH50" ca="1" si="75">-$CV19/5*-1</f>
        <v>8.6886956521739125E-2</v>
      </c>
      <c r="DI19" s="21">
        <f t="shared" ref="DI19:DI50" ca="1" si="76">-$CV19/3*-1</f>
        <v>0.14481159420289855</v>
      </c>
      <c r="DJ19" s="21">
        <f t="shared" ref="DJ19:DJ50" ca="1" si="77">-$CV19/2*-1</f>
        <v>0.21721739130434781</v>
      </c>
      <c r="DL19" s="16" cm="1">
        <f t="array" aca="1" ref="DL19" ca="1">MAX(_xlfn._xlws.FILTER(CW19:DJ19,CW19:DJ19&lt;BU19))</f>
        <v>2.5554987212276212E-2</v>
      </c>
      <c r="DM19" s="16" cm="1">
        <f t="array" aca="1" ref="DM19" ca="1">MIN(_xlfn._xlws.FILTER(CW19:DJ19,CW19:DJ19&gt;BU19))</f>
        <v>4.8270531400966182E-2</v>
      </c>
      <c r="DN19" s="2" cm="1">
        <f t="array" aca="1" ref="DN19" ca="1">_FV(EC19,"Fechamento anterior",TRUE)</f>
        <v>9.41</v>
      </c>
      <c r="DO19" s="28">
        <f t="shared" ca="1" si="15"/>
        <v>0.23170438582533909</v>
      </c>
      <c r="DP19" s="15">
        <f t="shared" ref="DP19:DP50" ca="1" si="78">DN19+(DN19*DL19)</f>
        <v>9.6504724296675199</v>
      </c>
      <c r="DQ19" s="15">
        <f t="shared" ref="DQ19:DQ50" ca="1" si="79">DN19+(DN19*DM19)</f>
        <v>9.8642257004830913</v>
      </c>
      <c r="DR19" s="9"/>
      <c r="DS19" s="9"/>
      <c r="DT19" s="9"/>
      <c r="DU19" s="89">
        <v>1.2401510039981486E-2</v>
      </c>
      <c r="DV19" s="89">
        <f t="shared" ca="1" si="18"/>
        <v>2.2715544188689971E-2</v>
      </c>
      <c r="DW19" s="72">
        <f t="shared" ca="1" si="19"/>
        <v>0.29750892540175872</v>
      </c>
      <c r="DX19" s="37"/>
      <c r="DY19" s="35">
        <f t="shared" si="39"/>
        <v>0.2352870587176443</v>
      </c>
      <c r="DZ19" s="56"/>
      <c r="EA19" s="56"/>
      <c r="EC19" s="2" t="e" vm="19">
        <v>#VALUE!</v>
      </c>
      <c r="EE19" s="10" cm="1">
        <f t="array" aca="1" ref="EE19" ca="1">_FV(EC19,"Ações em circulação",TRUE)</f>
        <v>1352245000</v>
      </c>
      <c r="EF19" s="18">
        <f>VLOOKUP(BP19,Fundamentus!A:U,5,FALSE)</f>
        <v>0.17399999999999999</v>
      </c>
      <c r="EG19" s="2">
        <f t="shared" ca="1" si="20"/>
        <v>75383772988.505737</v>
      </c>
      <c r="EH19" s="17">
        <v>829221502.87356305</v>
      </c>
      <c r="EI19" s="17">
        <f t="shared" ca="1" si="21"/>
        <v>829221502.87356305</v>
      </c>
      <c r="EK19" s="16">
        <f t="shared" ca="1" si="22"/>
        <v>0</v>
      </c>
      <c r="EL19" s="32" t="str">
        <f>IF(VLOOKUP(BP19,Fundamentus!A:U,3,FALSE)&lt;15,"Bom",IF(VLOOKUP(BP19,Fundamentus!A:U,3,FALSE)&gt;15,"Ruim","n/a"))</f>
        <v>Ruim</v>
      </c>
      <c r="EM19" s="28" t="str">
        <f>IF(VLOOKUP(BP19,Fundamentus!A:U,4,FALSE)&lt;1,"Baixo",IF(VLOOKUP(BP19,Fundamentus!A:U,4,FALSE)&lt;1.5,"Moderado",IF(VLOOKUP(BP19,Fundamentus!A:U,4,FALSE)&gt;1.5,"Alto","n/a")))</f>
        <v>Alto</v>
      </c>
      <c r="EN19" s="17" t="str">
        <f>IF(VLOOKUP(BP19,Fundamentus!A:U,8,FALSE)&lt;0,"Risco elevado",IF(VLOOKUP(BP19,Fundamentus!A:U,8,FALSE)&lt;1,"Saudável",IF(VLOOKUP(BP19,Fundamentus!A:U,8,FALSE)&lt;3,"Estável",IF(VLOOKUP(BP19,Fundamentus!A:U,8,FALSE)&gt;3,"Alerta","n/a"))))</f>
        <v>Alerta</v>
      </c>
      <c r="EO19" s="28" t="str">
        <f t="shared" si="23"/>
        <v>Ruim</v>
      </c>
      <c r="EP19" s="17" t="str">
        <f>IF(VLOOKUP(BP19,Fundamentus!A:U,12,FALSE)&lt;2,"Subvalorizada",IF(VLOOKUP(BP19,Fundamentus!A:U,12,FALSE)&lt;6,"Muita barata",IF(VLOOKUP(BP19,Fundamentus!A:U,12,FALSE)&lt;6,"Barata",IF(VLOOKUP(BP19,Fundamentus!A:U,12,FALSE)&lt;8,"Atrativa",IF(VLOOKUP(BP19,Fundamentus!A:U,12,FALSE)&gt;8,"Supervalorizada","n/a")))))</f>
        <v>Muita barata</v>
      </c>
      <c r="ER19" s="17" t="str">
        <f>IF(VLOOKUP(BP19,Fundamentus!A:U,17,FALSE)&lt;0.1,"Fraco retorno",IF(VLOOKUP(BP19,Fundamentus!A:U,17,FALSE)&gt;0.1,"Bom retorno","n/a"))</f>
        <v>Bom retorno</v>
      </c>
      <c r="ES19" s="17" t="str">
        <f>IF(VLOOKUP(BP19,Fundamentus!A:U,16,FALSE)&lt;0.1,"Ineficiente",IF(VLOOKUP(BP19,Fundamentus!A:U,16,FALSE)&gt;0.1,"Eficiente","n/a"))</f>
        <v>Eficiente</v>
      </c>
      <c r="ET19" s="33" t="str">
        <f>IF(VLOOKUP(BP19,Fundamentus!A:U,16,FALSE)&lt;0.1,"Oper. Ineficiente",IF(VLOOKUP(BP19,Fundamentus!A:U,16,FALSE)&gt;0.1,"Oper.Eficiente","n/a"))</f>
        <v>Oper.Eficiente</v>
      </c>
      <c r="EU19" s="34">
        <f>VLOOKUP(BP19,Fundamentus!A:U,14,FALSE)</f>
        <v>1.0999999999999999E-2</v>
      </c>
      <c r="EV19" s="17" t="str">
        <f>IF(VLOOKUP(BP19,Fundamentus!A:U,21,FALSE)&lt;0,"Negativo",IF(VLOOKUP(BP19,Fundamentus!A:U,21,FALSE)&lt;0.05,"Fraco",IF(VLOOKUP(BP19,Fundamentus!A:U,21,FALSE)&lt;0.1,"Bom",IF(VLOOKUP(BP19,Fundamentus!A:U,21,FALSE)&gt;0.1,"Muito bom","n/a"))))</f>
        <v>Muito bom</v>
      </c>
      <c r="EX19" s="29" t="str">
        <f>IF(VLOOKUP(BP19,Fundamentus!A:U,15,FALSE)&gt;1,"Bom",IF(VLOOKUP(BP19,Fundamentus!A:U,15,FALSE)&lt;1,"Ruim","n/a"))</f>
        <v>Bom</v>
      </c>
      <c r="EY19" s="17" t="str">
        <f>IF(VLOOKUP(BP19,Fundamentus!A:U,20,FALSE)&lt;0.5,"Baixa",IF(VLOOKUP(BP19,Fundamentus!A:U,20,FALSE)&lt;1,"Moderada",IF(VLOOKUP(BP19,Fundamentus!A:U,20,FALSE)&lt;2,"Alerta",IF(VLOOKUP(BP19,Fundamentus!A:U,20,FALSE)&gt;2,"Alta","n/a"))))</f>
        <v>Alta</v>
      </c>
      <c r="EZ19" s="10"/>
    </row>
    <row r="20" spans="1:156" s="2" customFormat="1" ht="11.25" x14ac:dyDescent="0.2">
      <c r="A20" s="4">
        <v>6.22</v>
      </c>
      <c r="B20" s="4">
        <v>6.24</v>
      </c>
      <c r="C20" s="4">
        <v>6.31</v>
      </c>
      <c r="D20" s="4">
        <v>6.12</v>
      </c>
      <c r="E20" s="4">
        <v>6.11</v>
      </c>
      <c r="F20" s="4">
        <v>5.94</v>
      </c>
      <c r="G20" s="4">
        <v>5.9</v>
      </c>
      <c r="H20" s="4">
        <v>5.98</v>
      </c>
      <c r="I20" s="4">
        <v>5.99</v>
      </c>
      <c r="J20" s="4">
        <v>6.2</v>
      </c>
      <c r="K20" s="4">
        <v>6.51</v>
      </c>
      <c r="L20" s="4">
        <v>6.54</v>
      </c>
      <c r="M20" s="4">
        <v>6.3</v>
      </c>
      <c r="N20" s="4">
        <v>6.23</v>
      </c>
      <c r="O20" s="4">
        <v>6.56</v>
      </c>
      <c r="P20" s="4">
        <v>6.54</v>
      </c>
      <c r="Q20" s="4">
        <v>6.78</v>
      </c>
      <c r="R20" s="4">
        <v>6.69</v>
      </c>
      <c r="S20" s="4">
        <v>6.56</v>
      </c>
      <c r="T20" s="4">
        <v>6.47</v>
      </c>
      <c r="U20" s="4">
        <v>6.33</v>
      </c>
      <c r="V20" s="4">
        <v>6.18</v>
      </c>
      <c r="W20" s="4">
        <v>6.16</v>
      </c>
      <c r="X20" s="4">
        <v>6.18</v>
      </c>
      <c r="Y20" s="4">
        <v>6.05</v>
      </c>
      <c r="Z20" s="4">
        <v>6.18</v>
      </c>
      <c r="AA20" s="4">
        <v>6.14</v>
      </c>
      <c r="AB20" s="4">
        <v>6.05</v>
      </c>
      <c r="AC20" s="4">
        <v>5.82</v>
      </c>
      <c r="AD20" s="4">
        <v>5.78</v>
      </c>
      <c r="AE20" s="4">
        <v>5.6</v>
      </c>
      <c r="AF20" s="4">
        <v>5.65</v>
      </c>
      <c r="AG20" s="4">
        <v>5.57</v>
      </c>
      <c r="AH20" s="4">
        <v>5.64</v>
      </c>
      <c r="AI20" s="4">
        <v>5.72</v>
      </c>
      <c r="AJ20" s="4">
        <v>5.54</v>
      </c>
      <c r="AK20" s="4">
        <v>5.6</v>
      </c>
      <c r="AL20" s="4">
        <v>5.7</v>
      </c>
      <c r="AM20" s="4">
        <v>5.83</v>
      </c>
      <c r="AN20" s="4">
        <v>6.22</v>
      </c>
      <c r="AO20" s="4">
        <v>5.99</v>
      </c>
      <c r="AP20" s="4">
        <v>5.93</v>
      </c>
      <c r="AQ20" s="4">
        <v>5.98</v>
      </c>
      <c r="AR20" s="4">
        <v>5.9</v>
      </c>
      <c r="AS20" s="4">
        <v>5.94</v>
      </c>
      <c r="AT20" s="4">
        <v>5.82</v>
      </c>
      <c r="AU20" s="4">
        <v>5.77</v>
      </c>
      <c r="AV20" s="4">
        <v>5.6</v>
      </c>
      <c r="AW20" s="4">
        <v>5.33</v>
      </c>
      <c r="AX20" s="4">
        <v>5.3</v>
      </c>
      <c r="AY20" s="12">
        <v>5.5</v>
      </c>
      <c r="AZ20" s="12">
        <v>5.54</v>
      </c>
      <c r="BA20" s="12">
        <v>5.48</v>
      </c>
      <c r="BB20" s="15">
        <v>5.48</v>
      </c>
      <c r="BC20" s="52">
        <v>5.59</v>
      </c>
      <c r="BD20" s="52">
        <v>5.45</v>
      </c>
      <c r="BE20" s="52">
        <v>5.46</v>
      </c>
      <c r="BF20" s="52">
        <v>5.35</v>
      </c>
      <c r="BG20" s="67">
        <v>5.31</v>
      </c>
      <c r="BH20" s="52">
        <v>5.26</v>
      </c>
      <c r="BI20" s="52">
        <v>5.22</v>
      </c>
      <c r="BJ20" s="52">
        <v>5.28</v>
      </c>
      <c r="BK20" s="52">
        <v>5.19</v>
      </c>
      <c r="BL20" s="52">
        <v>5.0999999999999996</v>
      </c>
      <c r="BM20" s="52">
        <v>5.0999999999999996</v>
      </c>
      <c r="BN20" s="52">
        <v>5</v>
      </c>
      <c r="BO20" s="52" cm="1">
        <f t="array" aca="1" ref="BO20" ca="1">_FV(EC20,"Preço")</f>
        <v>5</v>
      </c>
      <c r="BP20" s="69" t="s">
        <v>17</v>
      </c>
      <c r="BQ20" s="36" cm="1">
        <f t="array" aca="1" ref="BQ20" ca="1">_FV(EC20,"Média de volume",TRUE)</f>
        <v>397700</v>
      </c>
      <c r="BR20" s="36">
        <v>570100</v>
      </c>
      <c r="BS20" s="36" cm="1">
        <f t="array" aca="1" ref="BS20" ca="1">_FV(EC20,"Volume")</f>
        <v>570100</v>
      </c>
      <c r="BT20" s="24" cm="1">
        <f t="array" aca="1" ref="BT20" ca="1">_FV(EC20,"Beta")</f>
        <v>0.58750000000000002</v>
      </c>
      <c r="BU20" s="71" cm="1">
        <f t="array" aca="1" ref="BU20" ca="1">_FV(EC20,"Variação (%)",TRUE)</f>
        <v>-7.9369999999999996E-3</v>
      </c>
      <c r="BW20" s="17" cm="1">
        <f t="array" aca="1" ref="BW20" ca="1">_FV(EC20,"Baixo")</f>
        <v>4.9400000000000004</v>
      </c>
      <c r="BX20" s="17" cm="1">
        <f t="array" aca="1" ref="BX20" ca="1">_FV(EC20,"Alto")</f>
        <v>5.0199999999999996</v>
      </c>
      <c r="BY20" s="24"/>
      <c r="BZ20" s="63">
        <f ca="1">SQRT(22.5*(BO20/VLOOKUP(BP20,Fundamentus!A:U,3,FALSE))*(BO20/VLOOKUP(BP20,Fundamentus!A:U,4,FALSE)))</f>
        <v>8.2007628157630386</v>
      </c>
      <c r="CB20" s="62">
        <f t="shared" ca="1" si="24"/>
        <v>0</v>
      </c>
      <c r="CC20" s="8"/>
      <c r="CD20" s="61">
        <f t="shared" si="25"/>
        <v>5</v>
      </c>
      <c r="CE20" s="61">
        <f t="shared" si="26"/>
        <v>6.78</v>
      </c>
      <c r="CF20" s="61">
        <f t="shared" si="27"/>
        <v>5.8636363636363642</v>
      </c>
      <c r="CG20" s="14"/>
      <c r="CH20" s="35">
        <f t="shared" si="1"/>
        <v>4.7658545533194507</v>
      </c>
      <c r="CI20" s="15">
        <f t="shared" si="28"/>
        <v>4.9550000000000409</v>
      </c>
      <c r="CJ20" s="35">
        <f t="shared" si="2"/>
        <v>5.1441454466806311</v>
      </c>
      <c r="CL20" s="14"/>
      <c r="CM20" s="17">
        <f t="shared" si="3"/>
        <v>2.6266666666666669</v>
      </c>
      <c r="CN20" s="17">
        <f t="shared" si="4"/>
        <v>3.8133333333333335</v>
      </c>
      <c r="CO20" s="17">
        <f t="shared" si="5"/>
        <v>4.4066666666666672</v>
      </c>
      <c r="CP20" s="38">
        <f t="shared" si="29"/>
        <v>5.5933333333333337</v>
      </c>
      <c r="CQ20" s="17">
        <f t="shared" si="6"/>
        <v>6.1866666666666674</v>
      </c>
      <c r="CR20" s="17">
        <f t="shared" si="7"/>
        <v>7.373333333333334</v>
      </c>
      <c r="CS20" s="17">
        <f t="shared" si="8"/>
        <v>7.9666666666666677</v>
      </c>
      <c r="CT20" s="2" cm="1">
        <f t="array" aca="1" ref="CT20" ca="1">MAX(_xlfn._xlws.FILTER(CM20:CS20,CM20:CS20&lt;BO20))</f>
        <v>4.4066666666666672</v>
      </c>
      <c r="CU20" s="2" cm="1">
        <f t="array" aca="1" ref="CU20" ca="1">MIN(_xlfn._xlws.FILTER($CM20:$CS20,$CM20:$CS20&gt;BO20))</f>
        <v>5.5933333333333337</v>
      </c>
      <c r="CV20" s="16">
        <f t="shared" ca="1" si="63"/>
        <v>0.26928895612708015</v>
      </c>
      <c r="CW20" s="20">
        <f t="shared" ca="1" si="64"/>
        <v>-0.13464447806354007</v>
      </c>
      <c r="CX20" s="20">
        <f t="shared" ca="1" si="65"/>
        <v>-8.9762985375693383E-2</v>
      </c>
      <c r="CY20" s="20">
        <f t="shared" ca="1" si="66"/>
        <v>-5.3857791225416028E-2</v>
      </c>
      <c r="CZ20" s="20">
        <f t="shared" ca="1" si="67"/>
        <v>-2.9920995125231126E-2</v>
      </c>
      <c r="DA20" s="20">
        <f t="shared" ca="1" si="68"/>
        <v>-1.5840526831004714E-2</v>
      </c>
      <c r="DB20" s="20">
        <f t="shared" ca="1" si="69"/>
        <v>-8.1602713977903078E-3</v>
      </c>
      <c r="DC20" s="20">
        <f t="shared" ca="1" si="70"/>
        <v>-4.1429070173396943E-3</v>
      </c>
      <c r="DD20" s="21">
        <f t="shared" ca="1" si="71"/>
        <v>4.1429070173396943E-3</v>
      </c>
      <c r="DE20" s="21">
        <f t="shared" ca="1" si="72"/>
        <v>8.1602713977903078E-3</v>
      </c>
      <c r="DF20" s="21">
        <f t="shared" ca="1" si="73"/>
        <v>1.5840526831004714E-2</v>
      </c>
      <c r="DG20" s="21">
        <f t="shared" ca="1" si="74"/>
        <v>2.9920995125231126E-2</v>
      </c>
      <c r="DH20" s="21">
        <f t="shared" ca="1" si="75"/>
        <v>5.3857791225416028E-2</v>
      </c>
      <c r="DI20" s="21">
        <f t="shared" ca="1" si="76"/>
        <v>8.9762985375693383E-2</v>
      </c>
      <c r="DJ20" s="21">
        <f t="shared" ca="1" si="77"/>
        <v>0.13464447806354007</v>
      </c>
      <c r="DL20" s="16" cm="1">
        <f t="array" aca="1" ref="DL20" ca="1">MAX(_xlfn._xlws.FILTER(CW20:DJ20,CW20:DJ20&lt;BU20))</f>
        <v>-8.1602713977903078E-3</v>
      </c>
      <c r="DM20" s="16" cm="1">
        <f t="array" aca="1" ref="DM20" ca="1">MIN(_xlfn._xlws.FILTER(CW20:DJ20,CW20:DJ20&gt;BU20))</f>
        <v>-4.1429070173396943E-3</v>
      </c>
      <c r="DN20" s="2" cm="1">
        <f t="array" aca="1" ref="DN20" ca="1">_FV(EC20,"Fechamento anterior",TRUE)</f>
        <v>5.04</v>
      </c>
      <c r="DO20" s="28">
        <f t="shared" ca="1" si="15"/>
        <v>5.5699070358457566E-2</v>
      </c>
      <c r="DP20" s="15">
        <f t="shared" ca="1" si="78"/>
        <v>4.9988722321551373</v>
      </c>
      <c r="DQ20" s="15">
        <f t="shared" ca="1" si="79"/>
        <v>5.0191197486326082</v>
      </c>
      <c r="DR20" s="9"/>
      <c r="DS20" s="9"/>
      <c r="DT20" s="9"/>
      <c r="DU20" s="89">
        <v>3.6803138124724081E-3</v>
      </c>
      <c r="DV20" s="89">
        <f t="shared" ca="1" si="18"/>
        <v>4.0173643804506136E-3</v>
      </c>
      <c r="DW20" s="72">
        <f t="shared" ca="1" si="19"/>
        <v>0.23791215062105378</v>
      </c>
      <c r="DX20" s="37"/>
      <c r="DY20" s="35">
        <f t="shared" si="39"/>
        <v>9.4572723340295275E-2</v>
      </c>
      <c r="DZ20" s="56"/>
      <c r="EA20" s="56"/>
      <c r="EC20" s="2" t="e" vm="20">
        <v>#VALUE!</v>
      </c>
      <c r="EE20" s="10" cm="1">
        <f t="array" aca="1" ref="EE20" ca="1">_FV(EC20,"Ações em circulação",TRUE)</f>
        <v>357374800</v>
      </c>
      <c r="EF20" s="18">
        <f>VLOOKUP(BP20,Fundamentus!A:U,5,FALSE)</f>
        <v>0.91300000000000003</v>
      </c>
      <c r="EG20" s="2">
        <f t="shared" ca="1" si="20"/>
        <v>1957145673.6035049</v>
      </c>
      <c r="EH20" s="17">
        <v>262648949.3975904</v>
      </c>
      <c r="EI20" s="17">
        <f t="shared" ca="1" si="21"/>
        <v>262648949.3975904</v>
      </c>
      <c r="EK20" s="16">
        <f t="shared" ca="1" si="22"/>
        <v>0</v>
      </c>
      <c r="EL20" s="32" t="str">
        <f>IF(VLOOKUP(BP20,Fundamentus!A:U,3,FALSE)&lt;15,"Bom",IF(VLOOKUP(BP20,Fundamentus!A:U,3,FALSE)&gt;15,"Ruim","n/a"))</f>
        <v>Bom</v>
      </c>
      <c r="EM20" s="28" t="str">
        <f>IF(VLOOKUP(BP20,Fundamentus!A:U,4,FALSE)&lt;1,"Baixo",IF(VLOOKUP(BP20,Fundamentus!A:U,4,FALSE)&lt;1.5,"Moderado",IF(VLOOKUP(BP20,Fundamentus!A:U,4,FALSE)&gt;1.5,"Alto","n/a")))</f>
        <v>Moderado</v>
      </c>
      <c r="EN20" s="17" t="str">
        <f>IF(VLOOKUP(BP20,Fundamentus!A:U,8,FALSE)&lt;0,"Risco elevado",IF(VLOOKUP(BP20,Fundamentus!A:U,8,FALSE)&lt;1,"Saudável",IF(VLOOKUP(BP20,Fundamentus!A:U,8,FALSE)&lt;3,"Estável",IF(VLOOKUP(BP20,Fundamentus!A:U,8,FALSE)&gt;3,"Alerta","n/a"))))</f>
        <v>Estável</v>
      </c>
      <c r="EO20" s="28" t="str">
        <f t="shared" si="23"/>
        <v>Ruim</v>
      </c>
      <c r="EP20" s="17" t="str">
        <f>IF(VLOOKUP(BP20,Fundamentus!A:U,12,FALSE)&lt;2,"Subvalorizada",IF(VLOOKUP(BP20,Fundamentus!A:U,12,FALSE)&lt;6,"Muita barata",IF(VLOOKUP(BP20,Fundamentus!A:U,12,FALSE)&lt;6,"Barata",IF(VLOOKUP(BP20,Fundamentus!A:U,12,FALSE)&lt;8,"Atrativa",IF(VLOOKUP(BP20,Fundamentus!A:U,12,FALSE)&gt;8,"Supervalorizada","n/a")))))</f>
        <v>Atrativa</v>
      </c>
      <c r="ER20" s="17" t="str">
        <f>IF(VLOOKUP(BP20,Fundamentus!A:U,17,FALSE)&lt;0.1,"Fraco retorno",IF(VLOOKUP(BP20,Fundamentus!A:U,17,FALSE)&gt;0.1,"Bom retorno","n/a"))</f>
        <v>Bom retorno</v>
      </c>
      <c r="ES20" s="17" t="str">
        <f>IF(VLOOKUP(BP20,Fundamentus!A:U,16,FALSE)&lt;0.1,"Ineficiente",IF(VLOOKUP(BP20,Fundamentus!A:U,16,FALSE)&gt;0.1,"Eficiente","n/a"))</f>
        <v>Eficiente</v>
      </c>
      <c r="ET20" s="33" t="str">
        <f>IF(VLOOKUP(BP20,Fundamentus!A:U,16,FALSE)&lt;0.1,"Oper. Ineficiente",IF(VLOOKUP(BP20,Fundamentus!A:U,16,FALSE)&gt;0.1,"Oper.Eficiente","n/a"))</f>
        <v>Oper.Eficiente</v>
      </c>
      <c r="EU20" s="34">
        <f>VLOOKUP(BP20,Fundamentus!A:U,14,FALSE)</f>
        <v>0.13420000000000001</v>
      </c>
      <c r="EV20" s="17" t="str">
        <f>IF(VLOOKUP(BP20,Fundamentus!A:U,21,FALSE)&lt;0,"Negativo",IF(VLOOKUP(BP20,Fundamentus!A:U,21,FALSE)&lt;0.05,"Fraco",IF(VLOOKUP(BP20,Fundamentus!A:U,21,FALSE)&lt;0.1,"Bom",IF(VLOOKUP(BP20,Fundamentus!A:U,21,FALSE)&gt;0.1,"Muito bom","n/a"))))</f>
        <v>Muito bom</v>
      </c>
      <c r="EX20" s="29" t="str">
        <f>IF(VLOOKUP(BP20,Fundamentus!A:U,15,FALSE)&gt;1,"Bom",IF(VLOOKUP(BP20,Fundamentus!A:U,15,FALSE)&lt;1,"Ruim","n/a"))</f>
        <v>Bom</v>
      </c>
      <c r="EY20" s="17" t="str">
        <f>IF(VLOOKUP(BP20,Fundamentus!A:U,20,FALSE)&lt;0.5,"Baixa",IF(VLOOKUP(BP20,Fundamentus!A:U,20,FALSE)&lt;1,"Moderada",IF(VLOOKUP(BP20,Fundamentus!A:U,20,FALSE)&lt;2,"Alerta",IF(VLOOKUP(BP20,Fundamentus!A:U,20,FALSE)&gt;2,"Alta","n/a"))))</f>
        <v>Moderada</v>
      </c>
    </row>
    <row r="21" spans="1:156" s="2" customFormat="1" ht="11.25" x14ac:dyDescent="0.2">
      <c r="A21" s="4">
        <v>31.53</v>
      </c>
      <c r="B21" s="4">
        <v>32.67</v>
      </c>
      <c r="C21" s="4">
        <v>32.46</v>
      </c>
      <c r="D21" s="4">
        <v>32.770000000000003</v>
      </c>
      <c r="E21" s="4">
        <v>31.76</v>
      </c>
      <c r="F21" s="4">
        <v>31.09</v>
      </c>
      <c r="G21" s="4">
        <v>30.52</v>
      </c>
      <c r="H21" s="4">
        <v>31.01</v>
      </c>
      <c r="I21" s="4">
        <v>32.65</v>
      </c>
      <c r="J21" s="4">
        <v>33.5</v>
      </c>
      <c r="K21" s="4">
        <v>34.200000000000003</v>
      </c>
      <c r="L21" s="4">
        <v>33.29</v>
      </c>
      <c r="M21" s="4">
        <v>33.1</v>
      </c>
      <c r="N21" s="4">
        <v>33.5</v>
      </c>
      <c r="O21" s="4">
        <v>33.79</v>
      </c>
      <c r="P21" s="4">
        <v>31.36</v>
      </c>
      <c r="Q21" s="4">
        <v>31.45</v>
      </c>
      <c r="R21" s="4">
        <v>32.06</v>
      </c>
      <c r="S21" s="4">
        <v>30.7</v>
      </c>
      <c r="T21" s="4">
        <v>31.31</v>
      </c>
      <c r="U21" s="4">
        <v>31.17</v>
      </c>
      <c r="V21" s="4">
        <v>30.3</v>
      </c>
      <c r="W21" s="4">
        <v>30.46</v>
      </c>
      <c r="X21" s="4">
        <v>30.23</v>
      </c>
      <c r="Y21" s="4">
        <v>30.36</v>
      </c>
      <c r="Z21" s="4">
        <v>30.2</v>
      </c>
      <c r="AA21" s="4">
        <v>30.06</v>
      </c>
      <c r="AB21" s="4">
        <v>30.31</v>
      </c>
      <c r="AC21" s="4">
        <v>27.94</v>
      </c>
      <c r="AD21" s="4">
        <v>27.94</v>
      </c>
      <c r="AE21" s="4">
        <v>27.13</v>
      </c>
      <c r="AF21" s="4">
        <v>27.73</v>
      </c>
      <c r="AG21" s="4">
        <v>27.15</v>
      </c>
      <c r="AH21" s="4">
        <v>27.3</v>
      </c>
      <c r="AI21" s="4">
        <v>27.58</v>
      </c>
      <c r="AJ21" s="4">
        <v>26.18</v>
      </c>
      <c r="AK21" s="4">
        <v>26.56</v>
      </c>
      <c r="AL21" s="4">
        <v>27.29</v>
      </c>
      <c r="AM21" s="4">
        <v>27.57</v>
      </c>
      <c r="AN21" s="4">
        <v>28.35</v>
      </c>
      <c r="AO21" s="4">
        <v>27.7</v>
      </c>
      <c r="AP21" s="4">
        <v>28.19</v>
      </c>
      <c r="AQ21" s="4">
        <v>28.18</v>
      </c>
      <c r="AR21" s="4">
        <v>27.61</v>
      </c>
      <c r="AS21" s="4">
        <v>29.42</v>
      </c>
      <c r="AT21" s="4">
        <v>30.16</v>
      </c>
      <c r="AU21" s="4">
        <v>28.97</v>
      </c>
      <c r="AV21" s="4">
        <v>28.35</v>
      </c>
      <c r="AW21" s="4">
        <v>28.55</v>
      </c>
      <c r="AX21" s="4">
        <v>29.56</v>
      </c>
      <c r="AY21" s="12">
        <v>30.46</v>
      </c>
      <c r="AZ21" s="12">
        <v>30.79</v>
      </c>
      <c r="BA21" s="12">
        <v>29.62</v>
      </c>
      <c r="BB21" s="15">
        <v>29.15</v>
      </c>
      <c r="BC21" s="52">
        <v>28.83</v>
      </c>
      <c r="BD21" s="52">
        <v>30.66</v>
      </c>
      <c r="BE21" s="52">
        <v>32.1</v>
      </c>
      <c r="BF21" s="52">
        <v>30.5</v>
      </c>
      <c r="BG21" s="67">
        <v>30.25</v>
      </c>
      <c r="BH21" s="52">
        <v>29.26</v>
      </c>
      <c r="BI21" s="52">
        <v>29.55</v>
      </c>
      <c r="BJ21" s="52">
        <v>30.01</v>
      </c>
      <c r="BK21" s="52">
        <v>29.2</v>
      </c>
      <c r="BL21" s="52">
        <v>28.7</v>
      </c>
      <c r="BM21" s="52">
        <v>28.3</v>
      </c>
      <c r="BN21" s="52">
        <v>28.29</v>
      </c>
      <c r="BO21" s="52" cm="1">
        <f t="array" aca="1" ref="BO21" ca="1">_FV(EC21,"Preço")</f>
        <v>28.29</v>
      </c>
      <c r="BP21" s="69" t="s">
        <v>18</v>
      </c>
      <c r="BQ21" s="36" cm="1">
        <f t="array" aca="1" ref="BQ21" ca="1">_FV(EC21,"Média de volume",TRUE)</f>
        <v>202800</v>
      </c>
      <c r="BR21" s="36">
        <v>229600</v>
      </c>
      <c r="BS21" s="36" cm="1">
        <f t="array" aca="1" ref="BS21" ca="1">_FV(EC21,"Volume")</f>
        <v>229600</v>
      </c>
      <c r="BT21" s="24" cm="1">
        <f t="array" aca="1" ref="BT21" ca="1">_FV(EC21,"Beta")</f>
        <v>0.75829999999999997</v>
      </c>
      <c r="BU21" s="71" cm="1">
        <f t="array" aca="1" ref="BU21" ca="1">_FV(EC21,"Variação (%)",TRUE)</f>
        <v>-1.0492999999999999E-2</v>
      </c>
      <c r="BW21" s="17" cm="1">
        <f t="array" aca="1" ref="BW21" ca="1">_FV(EC21,"Baixo")</f>
        <v>28.01</v>
      </c>
      <c r="BX21" s="17" cm="1">
        <f t="array" aca="1" ref="BX21" ca="1">_FV(EC21,"Alto")</f>
        <v>28.79</v>
      </c>
      <c r="BY21" s="24"/>
      <c r="BZ21" s="63">
        <f ca="1">SQRT(22.5*(BO21/VLOOKUP(BP21,Fundamentus!A:U,3,FALSE))*(BO21/VLOOKUP(BP21,Fundamentus!A:U,4,FALSE)))</f>
        <v>23.043722008014178</v>
      </c>
      <c r="CB21" s="62">
        <f t="shared" ca="1" si="24"/>
        <v>0</v>
      </c>
      <c r="CC21" s="8"/>
      <c r="CD21" s="61">
        <f t="shared" si="25"/>
        <v>26.18</v>
      </c>
      <c r="CE21" s="61">
        <f t="shared" si="26"/>
        <v>34.200000000000003</v>
      </c>
      <c r="CF21" s="61">
        <f t="shared" si="27"/>
        <v>29.983181818181812</v>
      </c>
      <c r="CG21" s="14"/>
      <c r="CH21" s="35">
        <f t="shared" si="1"/>
        <v>26.545643016784155</v>
      </c>
      <c r="CI21" s="15">
        <f t="shared" si="28"/>
        <v>27.840000000000146</v>
      </c>
      <c r="CJ21" s="35">
        <f t="shared" si="2"/>
        <v>29.134356983216136</v>
      </c>
      <c r="CL21" s="14"/>
      <c r="CM21" s="17">
        <f t="shared" si="3"/>
        <v>16.893333333333331</v>
      </c>
      <c r="CN21" s="17">
        <f t="shared" si="4"/>
        <v>21.536666666666665</v>
      </c>
      <c r="CO21" s="17">
        <f t="shared" si="5"/>
        <v>24.913333333333334</v>
      </c>
      <c r="CP21" s="38">
        <f t="shared" si="29"/>
        <v>29.556666666666668</v>
      </c>
      <c r="CQ21" s="17">
        <f t="shared" si="6"/>
        <v>32.933333333333337</v>
      </c>
      <c r="CR21" s="17">
        <f t="shared" si="7"/>
        <v>37.576666666666668</v>
      </c>
      <c r="CS21" s="17">
        <f t="shared" si="8"/>
        <v>40.95333333333334</v>
      </c>
      <c r="CT21" s="2" cm="1">
        <f t="array" aca="1" ref="CT21" ca="1">MAX(_xlfn._xlws.FILTER(CM21:CS21,CM21:CS21&lt;BO21))</f>
        <v>24.913333333333334</v>
      </c>
      <c r="CU21" s="2" cm="1">
        <f t="array" aca="1" ref="CU21" ca="1">MIN(_xlfn._xlws.FILTER($CM21:$CS21,$CM21:$CS21&gt;BO21))</f>
        <v>29.556666666666668</v>
      </c>
      <c r="CV21" s="16">
        <f t="shared" ca="1" si="63"/>
        <v>0.18637944875568646</v>
      </c>
      <c r="CW21" s="20">
        <f t="shared" ca="1" si="64"/>
        <v>-9.318972437784323E-2</v>
      </c>
      <c r="CX21" s="20">
        <f t="shared" ca="1" si="65"/>
        <v>-6.2126482918562154E-2</v>
      </c>
      <c r="CY21" s="20">
        <f t="shared" ca="1" si="66"/>
        <v>-3.7275889751137291E-2</v>
      </c>
      <c r="CZ21" s="20">
        <f t="shared" ca="1" si="67"/>
        <v>-2.0708827639520717E-2</v>
      </c>
      <c r="DA21" s="20">
        <f t="shared" ca="1" si="68"/>
        <v>-1.0963496985628615E-2</v>
      </c>
      <c r="DB21" s="20">
        <f t="shared" ca="1" si="69"/>
        <v>-5.6478620835056503E-3</v>
      </c>
      <c r="DC21" s="20">
        <f t="shared" ca="1" si="70"/>
        <v>-2.8673761347028687E-3</v>
      </c>
      <c r="DD21" s="21">
        <f t="shared" ca="1" si="71"/>
        <v>2.8673761347028687E-3</v>
      </c>
      <c r="DE21" s="21">
        <f t="shared" ca="1" si="72"/>
        <v>5.6478620835056503E-3</v>
      </c>
      <c r="DF21" s="21">
        <f t="shared" ca="1" si="73"/>
        <v>1.0963496985628615E-2</v>
      </c>
      <c r="DG21" s="21">
        <f t="shared" ca="1" si="74"/>
        <v>2.0708827639520717E-2</v>
      </c>
      <c r="DH21" s="21">
        <f t="shared" ca="1" si="75"/>
        <v>3.7275889751137291E-2</v>
      </c>
      <c r="DI21" s="21">
        <f t="shared" ca="1" si="76"/>
        <v>6.2126482918562154E-2</v>
      </c>
      <c r="DJ21" s="21">
        <f t="shared" ca="1" si="77"/>
        <v>9.318972437784323E-2</v>
      </c>
      <c r="DL21" s="16" cm="1">
        <f t="array" aca="1" ref="DL21" ca="1">MAX(_xlfn._xlws.FILTER(CW21:DJ21,CW21:DJ21&lt;BU21))</f>
        <v>-1.0963496985628615E-2</v>
      </c>
      <c r="DM21" s="16" cm="1">
        <f t="array" aca="1" ref="DM21" ca="1">MIN(_xlfn._xlws.FILTER(CW21:DJ21,CW21:DJ21&gt;BU21))</f>
        <v>-5.6478620835056503E-3</v>
      </c>
      <c r="DN21" s="2" cm="1">
        <f t="array" aca="1" ref="DN21" ca="1">_FV(EC21,"Fechamento anterior",TRUE)</f>
        <v>28.59</v>
      </c>
      <c r="DO21" s="28">
        <f t="shared" ca="1" si="15"/>
        <v>8.8478151889713891E-2</v>
      </c>
      <c r="DP21" s="15">
        <f t="shared" ca="1" si="78"/>
        <v>28.276553621180877</v>
      </c>
      <c r="DQ21" s="15">
        <f t="shared" ca="1" si="79"/>
        <v>28.428527623032572</v>
      </c>
      <c r="DR21" s="9"/>
      <c r="DS21" s="9"/>
      <c r="DT21" s="9"/>
      <c r="DU21" s="89">
        <v>2.6693616953013485E-3</v>
      </c>
      <c r="DV21" s="89">
        <f t="shared" ca="1" si="18"/>
        <v>5.3156349021229645E-3</v>
      </c>
      <c r="DW21" s="72">
        <f t="shared" ca="1" si="19"/>
        <v>0.34766297538857688</v>
      </c>
      <c r="DX21" s="37"/>
      <c r="DY21" s="35">
        <f t="shared" si="39"/>
        <v>0.6471784916079959</v>
      </c>
      <c r="DZ21" s="56"/>
      <c r="EA21" s="56"/>
      <c r="EC21" s="2" t="e" vm="21">
        <v>#VALUE!</v>
      </c>
      <c r="EE21" s="10" cm="1">
        <f t="array" aca="1" ref="EE21" ca="1">_FV(EC21,"Ações em circulação",TRUE)</f>
        <v>135539000</v>
      </c>
      <c r="EF21" s="18">
        <f>VLOOKUP(BP21,Fundamentus!A:U,5,FALSE)</f>
        <v>0.80700000000000005</v>
      </c>
      <c r="EG21" s="2">
        <f t="shared" ca="1" si="20"/>
        <v>4751422936.8029737</v>
      </c>
      <c r="EH21" s="17">
        <v>494147985.42750925</v>
      </c>
      <c r="EI21" s="17">
        <f t="shared" ca="1" si="21"/>
        <v>494147985.42750925</v>
      </c>
      <c r="EK21" s="16">
        <f t="shared" ca="1" si="22"/>
        <v>0</v>
      </c>
      <c r="EL21" s="32" t="str">
        <f>IF(VLOOKUP(BP21,Fundamentus!A:U,3,FALSE)&lt;15,"Bom",IF(VLOOKUP(BP21,Fundamentus!A:U,3,FALSE)&gt;15,"Ruim","n/a"))</f>
        <v>Bom</v>
      </c>
      <c r="EM21" s="28" t="str">
        <f>IF(VLOOKUP(BP21,Fundamentus!A:U,4,FALSE)&lt;1,"Baixo",IF(VLOOKUP(BP21,Fundamentus!A:U,4,FALSE)&lt;1.5,"Moderado",IF(VLOOKUP(BP21,Fundamentus!A:U,4,FALSE)&gt;1.5,"Alto","n/a")))</f>
        <v>Alto</v>
      </c>
      <c r="EN21" s="17" t="str">
        <f>IF(VLOOKUP(BP21,Fundamentus!A:U,8,FALSE)&lt;0,"Risco elevado",IF(VLOOKUP(BP21,Fundamentus!A:U,8,FALSE)&lt;1,"Saudável",IF(VLOOKUP(BP21,Fundamentus!A:U,8,FALSE)&lt;3,"Estável",IF(VLOOKUP(BP21,Fundamentus!A:U,8,FALSE)&gt;3,"Alerta","n/a"))))</f>
        <v>Alerta</v>
      </c>
      <c r="EO21" s="28" t="str">
        <f t="shared" si="23"/>
        <v>Ruim</v>
      </c>
      <c r="EP21" s="17" t="str">
        <f>IF(VLOOKUP(BP21,Fundamentus!A:U,12,FALSE)&lt;2,"Subvalorizada",IF(VLOOKUP(BP21,Fundamentus!A:U,12,FALSE)&lt;6,"Muita barata",IF(VLOOKUP(BP21,Fundamentus!A:U,12,FALSE)&lt;6,"Barata",IF(VLOOKUP(BP21,Fundamentus!A:U,12,FALSE)&lt;8,"Atrativa",IF(VLOOKUP(BP21,Fundamentus!A:U,12,FALSE)&gt;8,"Supervalorizada","n/a")))))</f>
        <v>Muita barata</v>
      </c>
      <c r="ER21" s="17" t="str">
        <f>IF(VLOOKUP(BP21,Fundamentus!A:U,17,FALSE)&lt;0.1,"Fraco retorno",IF(VLOOKUP(BP21,Fundamentus!A:U,17,FALSE)&gt;0.1,"Bom retorno","n/a"))</f>
        <v>Bom retorno</v>
      </c>
      <c r="ES21" s="17" t="str">
        <f>IF(VLOOKUP(BP21,Fundamentus!A:U,16,FALSE)&lt;0.1,"Ineficiente",IF(VLOOKUP(BP21,Fundamentus!A:U,16,FALSE)&gt;0.1,"Eficiente","n/a"))</f>
        <v>Eficiente</v>
      </c>
      <c r="ET21" s="33" t="str">
        <f>IF(VLOOKUP(BP21,Fundamentus!A:U,16,FALSE)&lt;0.1,"Oper. Ineficiente",IF(VLOOKUP(BP21,Fundamentus!A:U,16,FALSE)&gt;0.1,"Oper.Eficiente","n/a"))</f>
        <v>Oper.Eficiente</v>
      </c>
      <c r="EU21" s="34">
        <f>VLOOKUP(BP21,Fundamentus!A:U,14,FALSE)</f>
        <v>0.104</v>
      </c>
      <c r="EV21" s="17" t="str">
        <f>IF(VLOOKUP(BP21,Fundamentus!A:U,21,FALSE)&lt;0,"Negativo",IF(VLOOKUP(BP21,Fundamentus!A:U,21,FALSE)&lt;0.05,"Fraco",IF(VLOOKUP(BP21,Fundamentus!A:U,21,FALSE)&lt;0.1,"Bom",IF(VLOOKUP(BP21,Fundamentus!A:U,21,FALSE)&gt;0.1,"Muito bom","n/a"))))</f>
        <v>Muito bom</v>
      </c>
      <c r="EX21" s="29" t="str">
        <f>IF(VLOOKUP(BP21,Fundamentus!A:U,15,FALSE)&gt;1,"Bom",IF(VLOOKUP(BP21,Fundamentus!A:U,15,FALSE)&lt;1,"Ruim","n/a"))</f>
        <v>Bom</v>
      </c>
      <c r="EY21" s="17" t="str">
        <f>IF(VLOOKUP(BP21,Fundamentus!A:U,20,FALSE)&lt;0.5,"Baixa",IF(VLOOKUP(BP21,Fundamentus!A:U,20,FALSE)&lt;1,"Moderada",IF(VLOOKUP(BP21,Fundamentus!A:U,20,FALSE)&lt;2,"Alerta",IF(VLOOKUP(BP21,Fundamentus!A:U,20,FALSE)&gt;2,"Alta","n/a"))))</f>
        <v>Alerta</v>
      </c>
    </row>
    <row r="22" spans="1:156" s="5" customFormat="1" ht="11.25" x14ac:dyDescent="0.2">
      <c r="A22" s="4">
        <v>9.6</v>
      </c>
      <c r="B22" s="4">
        <v>9.24</v>
      </c>
      <c r="C22" s="4">
        <v>9.58</v>
      </c>
      <c r="D22" s="4">
        <v>9.2799999999999994</v>
      </c>
      <c r="E22" s="4">
        <v>9.07</v>
      </c>
      <c r="F22" s="4">
        <v>9.25</v>
      </c>
      <c r="G22" s="4">
        <v>9.35</v>
      </c>
      <c r="H22" s="4">
        <v>9.2100000000000009</v>
      </c>
      <c r="I22" s="4">
        <v>9.33</v>
      </c>
      <c r="J22" s="4">
        <v>9.74</v>
      </c>
      <c r="K22" s="4">
        <v>10.23</v>
      </c>
      <c r="L22" s="4">
        <v>10.07</v>
      </c>
      <c r="M22" s="4">
        <v>10.119999999999999</v>
      </c>
      <c r="N22" s="4">
        <v>10.119999999999999</v>
      </c>
      <c r="O22" s="4">
        <v>10.27</v>
      </c>
      <c r="P22" s="4">
        <v>10.4</v>
      </c>
      <c r="Q22" s="4">
        <v>10.73</v>
      </c>
      <c r="R22" s="4">
        <v>10.43</v>
      </c>
      <c r="S22" s="4">
        <v>10.83</v>
      </c>
      <c r="T22" s="4">
        <v>10.86</v>
      </c>
      <c r="U22" s="4">
        <v>10.52</v>
      </c>
      <c r="V22" s="4">
        <v>10.19</v>
      </c>
      <c r="W22" s="4">
        <v>10.01</v>
      </c>
      <c r="X22" s="4">
        <v>10.02</v>
      </c>
      <c r="Y22" s="4">
        <v>9.8000000000000007</v>
      </c>
      <c r="Z22" s="4">
        <v>9.75</v>
      </c>
      <c r="AA22" s="4">
        <v>9.56</v>
      </c>
      <c r="AB22" s="4">
        <v>9.39</v>
      </c>
      <c r="AC22" s="4">
        <v>9.59</v>
      </c>
      <c r="AD22" s="4">
        <v>9.3800000000000008</v>
      </c>
      <c r="AE22" s="4">
        <v>9.7100000000000009</v>
      </c>
      <c r="AF22" s="4">
        <v>9.59</v>
      </c>
      <c r="AG22" s="4">
        <v>9.1999999999999993</v>
      </c>
      <c r="AH22" s="4">
        <v>9.06</v>
      </c>
      <c r="AI22" s="4">
        <v>9.17</v>
      </c>
      <c r="AJ22" s="4">
        <v>8.99</v>
      </c>
      <c r="AK22" s="4">
        <v>8.76</v>
      </c>
      <c r="AL22" s="4">
        <v>9.15</v>
      </c>
      <c r="AM22" s="4">
        <v>9.1999999999999993</v>
      </c>
      <c r="AN22" s="4">
        <v>9.6999999999999993</v>
      </c>
      <c r="AO22" s="4">
        <v>9.73</v>
      </c>
      <c r="AP22" s="4">
        <v>10.32</v>
      </c>
      <c r="AQ22" s="4">
        <v>10.220000000000001</v>
      </c>
      <c r="AR22" s="4">
        <v>9.8699999999999992</v>
      </c>
      <c r="AS22" s="4">
        <v>9.92</v>
      </c>
      <c r="AT22" s="4">
        <v>10.33</v>
      </c>
      <c r="AU22" s="4">
        <v>10.5</v>
      </c>
      <c r="AV22" s="4">
        <v>10.48</v>
      </c>
      <c r="AW22" s="4">
        <v>10.62</v>
      </c>
      <c r="AX22" s="4">
        <v>10.68</v>
      </c>
      <c r="AY22" s="12">
        <v>11.02</v>
      </c>
      <c r="AZ22" s="12">
        <v>11.28</v>
      </c>
      <c r="BA22" s="12">
        <v>11.53</v>
      </c>
      <c r="BB22" s="15">
        <v>11.86</v>
      </c>
      <c r="BC22" s="52">
        <v>12.42</v>
      </c>
      <c r="BD22" s="52">
        <v>12.4</v>
      </c>
      <c r="BE22" s="52">
        <v>12.67</v>
      </c>
      <c r="BF22" s="52">
        <v>12.48</v>
      </c>
      <c r="BG22" s="67">
        <v>12.39</v>
      </c>
      <c r="BH22" s="52">
        <v>12.41</v>
      </c>
      <c r="BI22" s="52">
        <v>12.24</v>
      </c>
      <c r="BJ22" s="52">
        <v>12.34</v>
      </c>
      <c r="BK22" s="52">
        <v>11.95</v>
      </c>
      <c r="BL22" s="52">
        <v>11.88</v>
      </c>
      <c r="BM22" s="52">
        <v>11.67</v>
      </c>
      <c r="BN22" s="52">
        <v>11.93</v>
      </c>
      <c r="BO22" s="52" cm="1">
        <f t="array" aca="1" ref="BO22" ca="1">_FV(EC22,"Preço")</f>
        <v>11.93</v>
      </c>
      <c r="BP22" s="69" t="s">
        <v>19</v>
      </c>
      <c r="BQ22" s="36" cm="1">
        <f t="array" aca="1" ref="BQ22" ca="1">_FV(EC22,"Média de volume",TRUE)</f>
        <v>10620800</v>
      </c>
      <c r="BR22" s="36">
        <v>12716500</v>
      </c>
      <c r="BS22" s="36" cm="1">
        <f t="array" aca="1" ref="BS22" ca="1">_FV(EC22,"Volume")</f>
        <v>12716500</v>
      </c>
      <c r="BT22" s="24" cm="1">
        <f t="array" aca="1" ref="BT22" ca="1">_FV(EC22,"Beta")</f>
        <v>0.84519999999999995</v>
      </c>
      <c r="BU22" s="71" cm="1">
        <f t="array" aca="1" ref="BU22" ca="1">_FV(EC22,"Variação (%)",TRUE)</f>
        <v>5.9019999999999993E-3</v>
      </c>
      <c r="BW22" s="17" cm="1">
        <f t="array" aca="1" ref="BW22" ca="1">_FV(EC22,"Baixo")</f>
        <v>11.9</v>
      </c>
      <c r="BX22" s="17" cm="1">
        <f t="array" aca="1" ref="BX22" ca="1">_FV(EC22,"Alto")</f>
        <v>12.08</v>
      </c>
      <c r="BY22" s="24"/>
      <c r="BZ22" s="63">
        <f ca="1">SQRT(22.5*(BO22/VLOOKUP(BP22,Fundamentus!A:U,3,FALSE))*(BO22/VLOOKUP(BP22,Fundamentus!A:U,4,FALSE)))</f>
        <v>14.036265519116723</v>
      </c>
      <c r="CB22" s="62">
        <f t="shared" ca="1" si="24"/>
        <v>0</v>
      </c>
      <c r="CC22" s="8"/>
      <c r="CD22" s="61">
        <f t="shared" si="25"/>
        <v>8.76</v>
      </c>
      <c r="CE22" s="61">
        <f t="shared" si="26"/>
        <v>12.67</v>
      </c>
      <c r="CF22" s="61">
        <f t="shared" si="27"/>
        <v>10.357424242424239</v>
      </c>
      <c r="CG22" s="14"/>
      <c r="CH22" s="35">
        <f t="shared" si="1"/>
        <v>11.355746617744884</v>
      </c>
      <c r="CI22" s="15">
        <f t="shared" si="28"/>
        <v>11.789999999999992</v>
      </c>
      <c r="CJ22" s="35">
        <f t="shared" si="2"/>
        <v>12.2242533822551</v>
      </c>
      <c r="CL22" s="14"/>
      <c r="CM22" s="17">
        <f t="shared" si="3"/>
        <v>5.6599999999999984</v>
      </c>
      <c r="CN22" s="17">
        <f t="shared" si="4"/>
        <v>7.2099999999999991</v>
      </c>
      <c r="CO22" s="17">
        <f t="shared" si="5"/>
        <v>9.5699999999999985</v>
      </c>
      <c r="CP22" s="38">
        <f t="shared" si="29"/>
        <v>11.12</v>
      </c>
      <c r="CQ22" s="17">
        <f t="shared" si="6"/>
        <v>13.479999999999999</v>
      </c>
      <c r="CR22" s="17">
        <f t="shared" si="7"/>
        <v>15.03</v>
      </c>
      <c r="CS22" s="17">
        <f t="shared" si="8"/>
        <v>17.39</v>
      </c>
      <c r="CT22" s="2" cm="1">
        <f t="array" aca="1" ref="CT22" ca="1">MAX(_xlfn._xlws.FILTER(CM22:CS22,CM22:CS22&lt;BO22))</f>
        <v>11.12</v>
      </c>
      <c r="CU22" s="2" cm="1">
        <f t="array" aca="1" ref="CU22" ca="1">MIN(_xlfn._xlws.FILTER($CM22:$CS22,$CM22:$CS22&gt;BO22))</f>
        <v>13.479999999999999</v>
      </c>
      <c r="CV22" s="16">
        <f t="shared" ca="1" si="63"/>
        <v>0.21223021582733814</v>
      </c>
      <c r="CW22" s="20">
        <f t="shared" ca="1" si="64"/>
        <v>-0.10611510791366907</v>
      </c>
      <c r="CX22" s="20">
        <f t="shared" ca="1" si="65"/>
        <v>-7.0743405275779381E-2</v>
      </c>
      <c r="CY22" s="20">
        <f t="shared" ca="1" si="66"/>
        <v>-4.2446043165467628E-2</v>
      </c>
      <c r="CZ22" s="20">
        <f t="shared" ca="1" si="67"/>
        <v>-2.3581135091926459E-2</v>
      </c>
      <c r="DA22" s="20">
        <f t="shared" ca="1" si="68"/>
        <v>-1.2484130342784597E-2</v>
      </c>
      <c r="DB22" s="20">
        <f t="shared" ca="1" si="69"/>
        <v>-6.4312186614344895E-3</v>
      </c>
      <c r="DC22" s="20">
        <f t="shared" ca="1" si="70"/>
        <v>-3.26508024349751E-3</v>
      </c>
      <c r="DD22" s="21">
        <f t="shared" ca="1" si="71"/>
        <v>3.26508024349751E-3</v>
      </c>
      <c r="DE22" s="21">
        <f t="shared" ca="1" si="72"/>
        <v>6.4312186614344895E-3</v>
      </c>
      <c r="DF22" s="21">
        <f t="shared" ca="1" si="73"/>
        <v>1.2484130342784597E-2</v>
      </c>
      <c r="DG22" s="21">
        <f t="shared" ca="1" si="74"/>
        <v>2.3581135091926459E-2</v>
      </c>
      <c r="DH22" s="21">
        <f t="shared" ca="1" si="75"/>
        <v>4.2446043165467628E-2</v>
      </c>
      <c r="DI22" s="21">
        <f t="shared" ca="1" si="76"/>
        <v>7.0743405275779381E-2</v>
      </c>
      <c r="DJ22" s="21">
        <f t="shared" ca="1" si="77"/>
        <v>0.10611510791366907</v>
      </c>
      <c r="DL22" s="16" cm="1">
        <f t="array" aca="1" ref="DL22" ca="1">MAX(_xlfn._xlws.FILTER(CW22:DJ22,CW22:DJ22&lt;BU22))</f>
        <v>3.26508024349751E-3</v>
      </c>
      <c r="DM22" s="16" cm="1">
        <f t="array" aca="1" ref="DM22" ca="1">MIN(_xlfn._xlws.FILTER(CW22:DJ22,CW22:DJ22&gt;BU22))</f>
        <v>6.4312186614344895E-3</v>
      </c>
      <c r="DN22" s="2" cm="1">
        <f t="array" aca="1" ref="DN22" ca="1">_FV(EC22,"Fechamento anterior",TRUE)</f>
        <v>11.86</v>
      </c>
      <c r="DO22" s="28">
        <f t="shared" ca="1" si="15"/>
        <v>0.83291115271388383</v>
      </c>
      <c r="DP22" s="15">
        <f t="shared" ca="1" si="78"/>
        <v>11.89872385168788</v>
      </c>
      <c r="DQ22" s="15">
        <f t="shared" ca="1" si="79"/>
        <v>11.936274253324612</v>
      </c>
      <c r="DR22" s="9"/>
      <c r="DS22" s="9"/>
      <c r="DT22" s="9"/>
      <c r="DU22" s="89">
        <v>3.1484976546519625E-3</v>
      </c>
      <c r="DV22" s="89">
        <f t="shared" ca="1" si="18"/>
        <v>3.1661384179369795E-3</v>
      </c>
      <c r="DW22" s="72">
        <f t="shared" ca="1" si="19"/>
        <v>0.32239242276704461</v>
      </c>
      <c r="DX22" s="37"/>
      <c r="DY22" s="35">
        <f t="shared" si="39"/>
        <v>0.2171266911275534</v>
      </c>
      <c r="DZ22" s="56"/>
      <c r="EA22" s="56"/>
      <c r="EC22" s="5" t="e" vm="22">
        <v>#VALUE!</v>
      </c>
      <c r="EE22" s="10" cm="1">
        <f t="array" aca="1" ref="EE22" ca="1">_FV(EC22,"Ações em circulação",TRUE)</f>
        <v>2982811000</v>
      </c>
      <c r="EF22" s="18">
        <f>VLOOKUP(BP22,Fundamentus!A:U,5,FALSE)</f>
        <v>1.532</v>
      </c>
      <c r="EG22" s="2">
        <f t="shared" ca="1" si="20"/>
        <v>23227764510.443863</v>
      </c>
      <c r="EH22" s="17">
        <v>2942957763.4732375</v>
      </c>
      <c r="EI22" s="17">
        <f t="shared" ca="1" si="21"/>
        <v>2942957763.4732375</v>
      </c>
      <c r="EJ22" s="2"/>
      <c r="EK22" s="16">
        <f t="shared" ca="1" si="22"/>
        <v>0</v>
      </c>
      <c r="EL22" s="32" t="str">
        <f>IF(VLOOKUP(BP22,Fundamentus!A:U,3,FALSE)&lt;15,"Bom",IF(VLOOKUP(BP22,Fundamentus!A:U,3,FALSE)&gt;15,"Ruim","n/a"))</f>
        <v>Bom</v>
      </c>
      <c r="EM22" s="28" t="str">
        <f>IF(VLOOKUP(BP22,Fundamentus!A:U,4,FALSE)&lt;1,"Baixo",IF(VLOOKUP(BP22,Fundamentus!A:U,4,FALSE)&lt;1.5,"Moderado",IF(VLOOKUP(BP22,Fundamentus!A:U,4,FALSE)&gt;1.5,"Alto","n/a")))</f>
        <v>Moderado</v>
      </c>
      <c r="EN22" s="17" t="str">
        <f>IF(VLOOKUP(BP22,Fundamentus!A:U,8,FALSE)&lt;0,"Risco elevado",IF(VLOOKUP(BP22,Fundamentus!A:U,8,FALSE)&lt;1,"Saudável",IF(VLOOKUP(BP22,Fundamentus!A:U,8,FALSE)&lt;3,"Estável",IF(VLOOKUP(BP22,Fundamentus!A:U,8,FALSE)&gt;3,"Alerta","n/a"))))</f>
        <v>Alerta</v>
      </c>
      <c r="EO22" s="28" t="str">
        <f t="shared" si="23"/>
        <v>Bom</v>
      </c>
      <c r="EP22" s="17" t="str">
        <f>IF(VLOOKUP(BP22,Fundamentus!A:U,12,FALSE)&lt;2,"Subvalorizada",IF(VLOOKUP(BP22,Fundamentus!A:U,12,FALSE)&lt;6,"Muita barata",IF(VLOOKUP(BP22,Fundamentus!A:U,12,FALSE)&lt;6,"Barata",IF(VLOOKUP(BP22,Fundamentus!A:U,12,FALSE)&lt;8,"Atrativa",IF(VLOOKUP(BP22,Fundamentus!A:U,12,FALSE)&gt;8,"Supervalorizada","n/a")))))</f>
        <v>Supervalorizada</v>
      </c>
      <c r="EQ22" s="2"/>
      <c r="ER22" s="17" t="str">
        <f>IF(VLOOKUP(BP22,Fundamentus!A:U,17,FALSE)&lt;0.1,"Fraco retorno",IF(VLOOKUP(BP22,Fundamentus!A:U,17,FALSE)&gt;0.1,"Bom retorno","n/a"))</f>
        <v>Bom retorno</v>
      </c>
      <c r="ES22" s="17" t="str">
        <f>IF(VLOOKUP(BP22,Fundamentus!A:U,16,FALSE)&lt;0.1,"Ineficiente",IF(VLOOKUP(BP22,Fundamentus!A:U,16,FALSE)&gt;0.1,"Eficiente","n/a"))</f>
        <v>Ineficiente</v>
      </c>
      <c r="ET22" s="33" t="str">
        <f>IF(VLOOKUP(BP22,Fundamentus!A:U,16,FALSE)&lt;0.1,"Oper. Ineficiente",IF(VLOOKUP(BP22,Fundamentus!A:U,16,FALSE)&gt;0.1,"Oper.Eficiente","n/a"))</f>
        <v>Oper. Ineficiente</v>
      </c>
      <c r="EU22" s="34">
        <f>VLOOKUP(BP22,Fundamentus!A:U,14,FALSE)</f>
        <v>0.12670000000000001</v>
      </c>
      <c r="EV22" s="17" t="str">
        <f>IF(VLOOKUP(BP22,Fundamentus!A:U,21,FALSE)&lt;0,"Negativo",IF(VLOOKUP(BP22,Fundamentus!A:U,21,FALSE)&lt;0.05,"Fraco",IF(VLOOKUP(BP22,Fundamentus!A:U,21,FALSE)&lt;0.1,"Bom",IF(VLOOKUP(BP22,Fundamentus!A:U,21,FALSE)&gt;0.1,"Muito bom","n/a"))))</f>
        <v>Fraco</v>
      </c>
      <c r="EX22" s="29" t="str">
        <f>IF(VLOOKUP(BP22,Fundamentus!A:U,15,FALSE)&gt;1,"Bom",IF(VLOOKUP(BP22,Fundamentus!A:U,15,FALSE)&lt;1,"Ruim","n/a"))</f>
        <v>Bom</v>
      </c>
      <c r="EY22" s="17" t="str">
        <f>IF(VLOOKUP(BP22,Fundamentus!A:U,20,FALSE)&lt;0.5,"Baixa",IF(VLOOKUP(BP22,Fundamentus!A:U,20,FALSE)&lt;1,"Moderada",IF(VLOOKUP(BP22,Fundamentus!A:U,20,FALSE)&lt;2,"Alerta",IF(VLOOKUP(BP22,Fundamentus!A:U,20,FALSE)&gt;2,"Alta","n/a"))))</f>
        <v>Moderada</v>
      </c>
    </row>
    <row r="23" spans="1:156" s="2" customFormat="1" ht="11.25" x14ac:dyDescent="0.2">
      <c r="A23" s="4">
        <v>22.9</v>
      </c>
      <c r="B23" s="4">
        <v>22.09</v>
      </c>
      <c r="C23" s="4">
        <v>21.71</v>
      </c>
      <c r="D23" s="4">
        <v>20.91</v>
      </c>
      <c r="E23" s="4">
        <v>20.5</v>
      </c>
      <c r="F23" s="4">
        <v>20.49</v>
      </c>
      <c r="G23" s="4">
        <v>19.57</v>
      </c>
      <c r="H23" s="4">
        <v>19.440000000000001</v>
      </c>
      <c r="I23" s="4">
        <v>19.63</v>
      </c>
      <c r="J23" s="4">
        <v>19.25</v>
      </c>
      <c r="K23" s="4">
        <v>19.38</v>
      </c>
      <c r="L23" s="4">
        <v>19.309999999999999</v>
      </c>
      <c r="M23" s="4">
        <v>18.96</v>
      </c>
      <c r="N23" s="4">
        <v>17.600000000000001</v>
      </c>
      <c r="O23" s="4">
        <v>17.96</v>
      </c>
      <c r="P23" s="4">
        <v>17.7</v>
      </c>
      <c r="Q23" s="4">
        <v>18</v>
      </c>
      <c r="R23" s="4">
        <v>18.05</v>
      </c>
      <c r="S23" s="4">
        <v>18.02</v>
      </c>
      <c r="T23" s="4">
        <v>18</v>
      </c>
      <c r="U23" s="4">
        <v>17.71</v>
      </c>
      <c r="V23" s="4">
        <v>17.850000000000001</v>
      </c>
      <c r="W23" s="4">
        <v>17.96</v>
      </c>
      <c r="X23" s="4">
        <v>17.899999999999999</v>
      </c>
      <c r="Y23" s="4">
        <v>17.5</v>
      </c>
      <c r="Z23" s="4">
        <v>17.64</v>
      </c>
      <c r="AA23" s="4">
        <v>17.61</v>
      </c>
      <c r="AB23" s="4">
        <v>18.010000000000002</v>
      </c>
      <c r="AC23" s="4">
        <v>18.13</v>
      </c>
      <c r="AD23" s="4">
        <v>18.850000000000001</v>
      </c>
      <c r="AE23" s="4">
        <v>16.989999999999998</v>
      </c>
      <c r="AF23" s="4">
        <v>16.989999999999998</v>
      </c>
      <c r="AG23" s="4">
        <v>16.899999999999999</v>
      </c>
      <c r="AH23" s="4">
        <v>16.8</v>
      </c>
      <c r="AI23" s="4">
        <v>16.850000000000001</v>
      </c>
      <c r="AJ23" s="4">
        <v>17.600000000000001</v>
      </c>
      <c r="AK23" s="4">
        <v>17.079999999999998</v>
      </c>
      <c r="AL23" s="4">
        <v>17.100000000000001</v>
      </c>
      <c r="AM23" s="4">
        <v>17.38</v>
      </c>
      <c r="AN23" s="4">
        <v>17.61</v>
      </c>
      <c r="AO23" s="4">
        <v>17.8</v>
      </c>
      <c r="AP23" s="4">
        <v>17.649999999999999</v>
      </c>
      <c r="AQ23" s="4">
        <v>17.62</v>
      </c>
      <c r="AR23" s="4">
        <v>17.899999999999999</v>
      </c>
      <c r="AS23" s="4">
        <v>18.3</v>
      </c>
      <c r="AT23" s="4">
        <v>18.95</v>
      </c>
      <c r="AU23" s="4">
        <v>18.555</v>
      </c>
      <c r="AV23" s="4">
        <v>19.8</v>
      </c>
      <c r="AW23" s="4">
        <v>19.55</v>
      </c>
      <c r="AX23" s="4">
        <v>19.920000000000002</v>
      </c>
      <c r="AY23" s="12">
        <v>21.28</v>
      </c>
      <c r="AZ23" s="12">
        <v>21.64</v>
      </c>
      <c r="BA23" s="12">
        <v>22.58</v>
      </c>
      <c r="BB23" s="15">
        <v>20.12</v>
      </c>
      <c r="BC23" s="52">
        <v>20.7</v>
      </c>
      <c r="BD23" s="52">
        <v>20.95</v>
      </c>
      <c r="BE23" s="52">
        <v>20.95</v>
      </c>
      <c r="BF23" s="52">
        <v>21</v>
      </c>
      <c r="BG23" s="67">
        <v>21.1</v>
      </c>
      <c r="BH23" s="52">
        <v>20.72</v>
      </c>
      <c r="BI23" s="52">
        <v>21</v>
      </c>
      <c r="BJ23" s="52">
        <v>21.6</v>
      </c>
      <c r="BK23" s="52">
        <v>21.73</v>
      </c>
      <c r="BL23" s="52">
        <v>21.15</v>
      </c>
      <c r="BM23" s="52">
        <v>21.15</v>
      </c>
      <c r="BN23" s="52">
        <v>20.9</v>
      </c>
      <c r="BO23" s="52" cm="1">
        <f t="array" aca="1" ref="BO23" ca="1">_FV(EC23,"Preço")</f>
        <v>20.9</v>
      </c>
      <c r="BP23" s="69" t="s">
        <v>20</v>
      </c>
      <c r="BQ23" s="36" cm="1">
        <f t="array" aca="1" ref="BQ23" ca="1">_FV(EC23,"Média de volume",TRUE)</f>
        <v>2330</v>
      </c>
      <c r="BR23" s="36">
        <v>5900</v>
      </c>
      <c r="BS23" s="36" cm="1">
        <f t="array" aca="1" ref="BS23" ca="1">_FV(EC23,"Volume")</f>
        <v>5900</v>
      </c>
      <c r="BT23" s="24" cm="1">
        <f t="array" aca="1" ref="BT23" ca="1">_FV(EC23,"Beta")</f>
        <v>0.64390000000000003</v>
      </c>
      <c r="BU23" s="71" cm="1">
        <f t="array" aca="1" ref="BU23" ca="1">_FV(EC23,"Variação (%)",TRUE)</f>
        <v>-9.5600000000000004E-4</v>
      </c>
      <c r="BW23" s="17" cm="1">
        <f t="array" aca="1" ref="BW23" ca="1">_FV(EC23,"Baixo")</f>
        <v>20.81</v>
      </c>
      <c r="BX23" s="17" cm="1">
        <f t="array" aca="1" ref="BX23" ca="1">_FV(EC23,"Alto")</f>
        <v>21.15</v>
      </c>
      <c r="BY23" s="24"/>
      <c r="BZ23" s="63">
        <f ca="1">SQRT(22.5*(BO23/VLOOKUP(BP23,Fundamentus!A:U,3,FALSE))*(BO23/VLOOKUP(BP23,Fundamentus!A:U,4,FALSE)))</f>
        <v>29.545247717185653</v>
      </c>
      <c r="CB23" s="62">
        <f t="shared" ca="1" si="24"/>
        <v>0</v>
      </c>
      <c r="CC23" s="8"/>
      <c r="CD23" s="61">
        <f t="shared" si="25"/>
        <v>16.8</v>
      </c>
      <c r="CE23" s="61">
        <f t="shared" si="26"/>
        <v>22.9</v>
      </c>
      <c r="CF23" s="61">
        <f t="shared" si="27"/>
        <v>19.159772727272724</v>
      </c>
      <c r="CG23" s="14"/>
      <c r="CH23" s="35">
        <f t="shared" si="1"/>
        <v>19.990503430195027</v>
      </c>
      <c r="CI23" s="15">
        <f t="shared" si="28"/>
        <v>20.6099999999999</v>
      </c>
      <c r="CJ23" s="35">
        <f t="shared" si="2"/>
        <v>21.229496569804773</v>
      </c>
      <c r="CL23" s="14"/>
      <c r="CM23" s="17">
        <f t="shared" si="3"/>
        <v>11.400000000000002</v>
      </c>
      <c r="CN23" s="17">
        <f t="shared" si="4"/>
        <v>14.100000000000001</v>
      </c>
      <c r="CO23" s="17">
        <f t="shared" si="5"/>
        <v>17.5</v>
      </c>
      <c r="CP23" s="38">
        <f t="shared" si="29"/>
        <v>20.2</v>
      </c>
      <c r="CQ23" s="17">
        <f t="shared" si="6"/>
        <v>23.599999999999998</v>
      </c>
      <c r="CR23" s="17">
        <f t="shared" si="7"/>
        <v>26.299999999999997</v>
      </c>
      <c r="CS23" s="17">
        <f t="shared" si="8"/>
        <v>29.699999999999996</v>
      </c>
      <c r="CT23" s="2" cm="1">
        <f t="array" aca="1" ref="CT23" ca="1">MAX(_xlfn._xlws.FILTER(CM23:CS23,CM23:CS23&lt;BO23))</f>
        <v>20.2</v>
      </c>
      <c r="CU23" s="2" cm="1">
        <f t="array" aca="1" ref="CU23" ca="1">MIN(_xlfn._xlws.FILTER($CM23:$CS23,$CM23:$CS23&gt;BO23))</f>
        <v>23.599999999999998</v>
      </c>
      <c r="CV23" s="16">
        <f t="shared" ca="1" si="63"/>
        <v>0.16831683168316824</v>
      </c>
      <c r="CW23" s="20">
        <f t="shared" ca="1" si="64"/>
        <v>-8.4158415841584122E-2</v>
      </c>
      <c r="CX23" s="20">
        <f t="shared" ca="1" si="65"/>
        <v>-5.6105610561056084E-2</v>
      </c>
      <c r="CY23" s="20">
        <f t="shared" ca="1" si="66"/>
        <v>-3.3663366336633652E-2</v>
      </c>
      <c r="CZ23" s="20">
        <f t="shared" ca="1" si="67"/>
        <v>-1.8701870187018695E-2</v>
      </c>
      <c r="DA23" s="20">
        <f t="shared" ca="1" si="68"/>
        <v>-9.9009900990098959E-3</v>
      </c>
      <c r="DB23" s="20">
        <f t="shared" ca="1" si="69"/>
        <v>-5.1005100510050985E-3</v>
      </c>
      <c r="DC23" s="20">
        <f t="shared" ca="1" si="70"/>
        <v>-2.5894897182025885E-3</v>
      </c>
      <c r="DD23" s="21">
        <f t="shared" ca="1" si="71"/>
        <v>2.5894897182025885E-3</v>
      </c>
      <c r="DE23" s="21">
        <f t="shared" ca="1" si="72"/>
        <v>5.1005100510050985E-3</v>
      </c>
      <c r="DF23" s="21">
        <f t="shared" ca="1" si="73"/>
        <v>9.9009900990098959E-3</v>
      </c>
      <c r="DG23" s="21">
        <f t="shared" ca="1" si="74"/>
        <v>1.8701870187018695E-2</v>
      </c>
      <c r="DH23" s="21">
        <f t="shared" ca="1" si="75"/>
        <v>3.3663366336633652E-2</v>
      </c>
      <c r="DI23" s="21">
        <f t="shared" ca="1" si="76"/>
        <v>5.6105610561056084E-2</v>
      </c>
      <c r="DJ23" s="21">
        <f t="shared" ca="1" si="77"/>
        <v>8.4158415841584122E-2</v>
      </c>
      <c r="DL23" s="16" cm="1">
        <f t="array" aca="1" ref="DL23" ca="1">MAX(_xlfn._xlws.FILTER(CW23:DJ23,CW23:DJ23&lt;BU23))</f>
        <v>-2.5894897182025885E-3</v>
      </c>
      <c r="DM23" s="16" cm="1">
        <f t="array" aca="1" ref="DM23" ca="1">MIN(_xlfn._xlws.FILTER(CW23:DJ23,CW23:DJ23&gt;BU23))</f>
        <v>2.5894897182025885E-3</v>
      </c>
      <c r="DN23" s="2" cm="1">
        <f t="array" aca="1" ref="DN23" ca="1">_FV(EC23,"Fechamento anterior",TRUE)</f>
        <v>20.92</v>
      </c>
      <c r="DO23" s="28">
        <f t="shared" ca="1" si="15"/>
        <v>0.31540321673599858</v>
      </c>
      <c r="DP23" s="15">
        <f t="shared" ca="1" si="78"/>
        <v>20.865827875095203</v>
      </c>
      <c r="DQ23" s="15">
        <f t="shared" ca="1" si="79"/>
        <v>20.974172124904801</v>
      </c>
      <c r="DR23" s="9"/>
      <c r="DS23" s="9"/>
      <c r="DT23" s="9"/>
      <c r="DU23" s="89">
        <v>1.5265224139505172E-2</v>
      </c>
      <c r="DV23" s="89">
        <f t="shared" ca="1" si="18"/>
        <v>5.178979436405177E-3</v>
      </c>
      <c r="DW23" s="72">
        <f t="shared" ca="1" si="19"/>
        <v>0.46812204318006428</v>
      </c>
      <c r="DX23" s="37"/>
      <c r="DY23" s="35">
        <f t="shared" si="39"/>
        <v>0.309748284902436</v>
      </c>
      <c r="DZ23" s="56"/>
      <c r="EA23" s="56"/>
      <c r="EC23" s="2" t="e" vm="23">
        <v>#VALUE!</v>
      </c>
      <c r="EE23" s="10" cm="1">
        <f t="array" aca="1" ref="EE23" ca="1">_FV(EC23,"Ações em circulação",TRUE)</f>
        <v>72081910</v>
      </c>
      <c r="EF23" s="18">
        <f>VLOOKUP(BP23,Fundamentus!A:U,5,FALSE)</f>
        <v>3.8490000000000002</v>
      </c>
      <c r="EG23" s="2">
        <f t="shared" ca="1" si="20"/>
        <v>391403460.37931931</v>
      </c>
      <c r="EH23" s="17">
        <v>235781444.53250197</v>
      </c>
      <c r="EI23" s="17">
        <f t="shared" ca="1" si="21"/>
        <v>235781444.53250197</v>
      </c>
      <c r="EK23" s="16">
        <f t="shared" ca="1" si="22"/>
        <v>0</v>
      </c>
      <c r="EL23" s="32" t="str">
        <f>IF(VLOOKUP(BP23,Fundamentus!A:U,3,FALSE)&lt;15,"Bom",IF(VLOOKUP(BP23,Fundamentus!A:U,3,FALSE)&gt;15,"Ruim","n/a"))</f>
        <v>Bom</v>
      </c>
      <c r="EM23" s="28" t="str">
        <f>IF(VLOOKUP(BP23,Fundamentus!A:U,4,FALSE)&lt;1,"Baixo",IF(VLOOKUP(BP23,Fundamentus!A:U,4,FALSE)&lt;1.5,"Moderado",IF(VLOOKUP(BP23,Fundamentus!A:U,4,FALSE)&gt;1.5,"Alto","n/a")))</f>
        <v>Moderado</v>
      </c>
      <c r="EN23" s="17" t="str">
        <f>IF(VLOOKUP(BP23,Fundamentus!A:U,8,FALSE)&lt;0,"Risco elevado",IF(VLOOKUP(BP23,Fundamentus!A:U,8,FALSE)&lt;1,"Saudável",IF(VLOOKUP(BP23,Fundamentus!A:U,8,FALSE)&lt;3,"Estável",IF(VLOOKUP(BP23,Fundamentus!A:U,8,FALSE)&gt;3,"Alerta","n/a"))))</f>
        <v>Estável</v>
      </c>
      <c r="EO23" s="28" t="str">
        <f t="shared" si="23"/>
        <v>Bom</v>
      </c>
      <c r="EP23" s="17" t="str">
        <f>IF(VLOOKUP(BP23,Fundamentus!A:U,12,FALSE)&lt;2,"Subvalorizada",IF(VLOOKUP(BP23,Fundamentus!A:U,12,FALSE)&lt;6,"Muita barata",IF(VLOOKUP(BP23,Fundamentus!A:U,12,FALSE)&lt;6,"Barata",IF(VLOOKUP(BP23,Fundamentus!A:U,12,FALSE)&lt;8,"Atrativa",IF(VLOOKUP(BP23,Fundamentus!A:U,12,FALSE)&gt;8,"Supervalorizada","n/a")))))</f>
        <v>Muita barata</v>
      </c>
      <c r="ER23" s="17" t="str">
        <f>IF(VLOOKUP(BP23,Fundamentus!A:U,17,FALSE)&lt;0.1,"Fraco retorno",IF(VLOOKUP(BP23,Fundamentus!A:U,17,FALSE)&gt;0.1,"Bom retorno","n/a"))</f>
        <v>Bom retorno</v>
      </c>
      <c r="ES23" s="17" t="str">
        <f>IF(VLOOKUP(BP23,Fundamentus!A:U,16,FALSE)&lt;0.1,"Ineficiente",IF(VLOOKUP(BP23,Fundamentus!A:U,16,FALSE)&gt;0.1,"Eficiente","n/a"))</f>
        <v>Eficiente</v>
      </c>
      <c r="ET23" s="33" t="str">
        <f>IF(VLOOKUP(BP23,Fundamentus!A:U,16,FALSE)&lt;0.1,"Oper. Ineficiente",IF(VLOOKUP(BP23,Fundamentus!A:U,16,FALSE)&gt;0.1,"Oper.Eficiente","n/a"))</f>
        <v>Oper.Eficiente</v>
      </c>
      <c r="EU23" s="34">
        <f>VLOOKUP(BP23,Fundamentus!A:U,14,FALSE)</f>
        <v>0.60240000000000005</v>
      </c>
      <c r="EV23" s="17" t="str">
        <f>IF(VLOOKUP(BP23,Fundamentus!A:U,21,FALSE)&lt;0,"Negativo",IF(VLOOKUP(BP23,Fundamentus!A:U,21,FALSE)&lt;0.05,"Fraco",IF(VLOOKUP(BP23,Fundamentus!A:U,21,FALSE)&lt;0.1,"Bom",IF(VLOOKUP(BP23,Fundamentus!A:U,21,FALSE)&gt;0.1,"Muito bom","n/a"))))</f>
        <v>Fraco</v>
      </c>
      <c r="EX23" s="29" t="str">
        <f>IF(VLOOKUP(BP23,Fundamentus!A:U,15,FALSE)&gt;1,"Bom",IF(VLOOKUP(BP23,Fundamentus!A:U,15,FALSE)&lt;1,"Ruim","n/a"))</f>
        <v>Bom</v>
      </c>
      <c r="EY23" s="17" t="str">
        <f>IF(VLOOKUP(BP23,Fundamentus!A:U,20,FALSE)&lt;0.5,"Baixa",IF(VLOOKUP(BP23,Fundamentus!A:U,20,FALSE)&lt;1,"Moderada",IF(VLOOKUP(BP23,Fundamentus!A:U,20,FALSE)&lt;2,"Alerta",IF(VLOOKUP(BP23,Fundamentus!A:U,20,FALSE)&gt;2,"Alta","n/a"))))</f>
        <v>Baixa</v>
      </c>
    </row>
    <row r="24" spans="1:156" s="2" customFormat="1" ht="11.25" x14ac:dyDescent="0.2">
      <c r="A24" s="4">
        <v>13.18</v>
      </c>
      <c r="B24" s="4">
        <v>12.55</v>
      </c>
      <c r="C24" s="4">
        <v>12.06</v>
      </c>
      <c r="D24" s="4">
        <v>11.58</v>
      </c>
      <c r="E24" s="4">
        <v>11.51</v>
      </c>
      <c r="F24" s="4">
        <v>11.01</v>
      </c>
      <c r="G24" s="4">
        <v>10.3</v>
      </c>
      <c r="H24" s="4">
        <v>10.19</v>
      </c>
      <c r="I24" s="4">
        <v>10.76</v>
      </c>
      <c r="J24" s="4">
        <v>11.41</v>
      </c>
      <c r="K24" s="4">
        <v>10.7</v>
      </c>
      <c r="L24" s="4">
        <v>10.71</v>
      </c>
      <c r="M24" s="4">
        <v>10.7</v>
      </c>
      <c r="N24" s="4">
        <v>10.56</v>
      </c>
      <c r="O24" s="4">
        <v>10.77</v>
      </c>
      <c r="P24" s="4">
        <v>11.96</v>
      </c>
      <c r="Q24" s="4">
        <v>14.39</v>
      </c>
      <c r="R24" s="4">
        <v>13.28</v>
      </c>
      <c r="S24" s="4">
        <v>13.17</v>
      </c>
      <c r="T24" s="4">
        <v>13.3</v>
      </c>
      <c r="U24" s="4">
        <v>12.81</v>
      </c>
      <c r="V24" s="4">
        <v>12.29</v>
      </c>
      <c r="W24" s="4">
        <v>12.4</v>
      </c>
      <c r="X24" s="4">
        <v>12.06</v>
      </c>
      <c r="Y24" s="4">
        <v>12.44</v>
      </c>
      <c r="Z24" s="4">
        <v>12.9</v>
      </c>
      <c r="AA24" s="4">
        <v>13.55</v>
      </c>
      <c r="AB24" s="4">
        <v>14.52</v>
      </c>
      <c r="AC24" s="4">
        <v>15.27</v>
      </c>
      <c r="AD24" s="4">
        <v>15</v>
      </c>
      <c r="AE24" s="4">
        <v>14.06</v>
      </c>
      <c r="AF24" s="4">
        <v>13.94</v>
      </c>
      <c r="AG24" s="4">
        <v>13.4</v>
      </c>
      <c r="AH24" s="4">
        <v>13.2</v>
      </c>
      <c r="AI24" s="4">
        <v>13.46</v>
      </c>
      <c r="AJ24" s="4">
        <v>13</v>
      </c>
      <c r="AK24" s="4">
        <v>12.99</v>
      </c>
      <c r="AL24" s="4">
        <v>13.58</v>
      </c>
      <c r="AM24" s="4">
        <v>14.25</v>
      </c>
      <c r="AN24" s="4">
        <v>16.02</v>
      </c>
      <c r="AO24" s="4">
        <v>16.2</v>
      </c>
      <c r="AP24" s="4">
        <v>16.440000000000001</v>
      </c>
      <c r="AQ24" s="4">
        <v>16.91</v>
      </c>
      <c r="AR24" s="4">
        <v>16.37</v>
      </c>
      <c r="AS24" s="4">
        <v>16.260000000000002</v>
      </c>
      <c r="AT24" s="4">
        <v>17.45</v>
      </c>
      <c r="AU24" s="4">
        <v>17.385000000000002</v>
      </c>
      <c r="AV24" s="4">
        <v>16.739999999999998</v>
      </c>
      <c r="AW24" s="4">
        <v>16.88</v>
      </c>
      <c r="AX24" s="4">
        <v>17.100000000000001</v>
      </c>
      <c r="AY24" s="12">
        <v>17.649999999999999</v>
      </c>
      <c r="AZ24" s="12">
        <v>17.170000000000002</v>
      </c>
      <c r="BA24" s="12">
        <v>16.95</v>
      </c>
      <c r="BB24" s="15">
        <v>16.34</v>
      </c>
      <c r="BC24" s="52">
        <v>16.93</v>
      </c>
      <c r="BD24" s="52">
        <v>16.46</v>
      </c>
      <c r="BE24" s="52">
        <v>16</v>
      </c>
      <c r="BF24" s="52">
        <v>15.89</v>
      </c>
      <c r="BG24" s="67">
        <v>15.11</v>
      </c>
      <c r="BH24" s="52">
        <v>15.01</v>
      </c>
      <c r="BI24" s="52">
        <v>14.62</v>
      </c>
      <c r="BJ24" s="52">
        <v>15.46</v>
      </c>
      <c r="BK24" s="52">
        <v>15.56</v>
      </c>
      <c r="BL24" s="52">
        <v>15.25</v>
      </c>
      <c r="BM24" s="52">
        <v>15</v>
      </c>
      <c r="BN24" s="52">
        <v>14.95</v>
      </c>
      <c r="BO24" s="52" cm="1">
        <f t="array" aca="1" ref="BO24" ca="1">_FV(EC24,"Preço")</f>
        <v>14.95</v>
      </c>
      <c r="BP24" s="69" t="s">
        <v>21</v>
      </c>
      <c r="BQ24" s="36" cm="1">
        <f t="array" aca="1" ref="BQ24" ca="1">_FV(EC24,"Média de volume",TRUE)</f>
        <v>371750</v>
      </c>
      <c r="BR24" s="36">
        <v>421400</v>
      </c>
      <c r="BS24" s="36" cm="1">
        <f t="array" aca="1" ref="BS24" ca="1">_FV(EC24,"Volume")</f>
        <v>421400</v>
      </c>
      <c r="BT24" s="24" cm="1">
        <f t="array" aca="1" ref="BT24" ca="1">_FV(EC24,"Beta")</f>
        <v>1.0056</v>
      </c>
      <c r="BU24" s="71" cm="1">
        <f t="array" aca="1" ref="BU24" ca="1">_FV(EC24,"Variação (%)",TRUE)</f>
        <v>-2.4788000000000001E-2</v>
      </c>
      <c r="BW24" s="17" cm="1">
        <f t="array" aca="1" ref="BW24" ca="1">_FV(EC24,"Baixo")</f>
        <v>14.95</v>
      </c>
      <c r="BX24" s="17" cm="1">
        <f t="array" aca="1" ref="BX24" ca="1">_FV(EC24,"Alto")</f>
        <v>15.44</v>
      </c>
      <c r="BY24" s="24"/>
      <c r="BZ24" s="63">
        <f ca="1">SQRT(22.5*(BO24/VLOOKUP(BP24,Fundamentus!A:U,3,FALSE))*(BO24/VLOOKUP(BP24,Fundamentus!A:U,4,FALSE)))</f>
        <v>6.0431793238219633</v>
      </c>
      <c r="CB24" s="62">
        <f t="shared" ca="1" si="24"/>
        <v>0</v>
      </c>
      <c r="CC24" s="8"/>
      <c r="CD24" s="61">
        <f t="shared" si="25"/>
        <v>10.19</v>
      </c>
      <c r="CE24" s="61">
        <f t="shared" si="26"/>
        <v>17.649999999999999</v>
      </c>
      <c r="CF24" s="61">
        <f t="shared" si="27"/>
        <v>14.050227272727273</v>
      </c>
      <c r="CG24" s="14"/>
      <c r="CH24" s="35">
        <f t="shared" si="1"/>
        <v>14.186247997420237</v>
      </c>
      <c r="CI24" s="15">
        <f t="shared" si="28"/>
        <v>14.670000000000073</v>
      </c>
      <c r="CJ24" s="35">
        <f t="shared" si="2"/>
        <v>15.153752002579909</v>
      </c>
      <c r="CL24" s="14"/>
      <c r="CM24" s="17">
        <f t="shared" si="3"/>
        <v>3.4166666666666625</v>
      </c>
      <c r="CN24" s="17">
        <f t="shared" si="4"/>
        <v>6.803333333333331</v>
      </c>
      <c r="CO24" s="17">
        <f t="shared" si="5"/>
        <v>10.876666666666662</v>
      </c>
      <c r="CP24" s="38">
        <f t="shared" si="29"/>
        <v>14.26333333333333</v>
      </c>
      <c r="CQ24" s="17">
        <f t="shared" si="6"/>
        <v>18.336666666666659</v>
      </c>
      <c r="CR24" s="17">
        <f t="shared" si="7"/>
        <v>21.723333333333329</v>
      </c>
      <c r="CS24" s="17">
        <f t="shared" si="8"/>
        <v>25.79666666666666</v>
      </c>
      <c r="CT24" s="2" cm="1">
        <f t="array" aca="1" ref="CT24" ca="1">MAX(_xlfn._xlws.FILTER(CM24:CS24,CM24:CS24&lt;BO24))</f>
        <v>14.26333333333333</v>
      </c>
      <c r="CU24" s="2" cm="1">
        <f t="array" aca="1" ref="CU24" ca="1">MIN(_xlfn._xlws.FILTER($CM24:$CS24,$CM24:$CS24&gt;BO24))</f>
        <v>18.336666666666659</v>
      </c>
      <c r="CV24" s="16">
        <f t="shared" ca="1" si="63"/>
        <v>0.2855807431642905</v>
      </c>
      <c r="CW24" s="20">
        <f t="shared" ca="1" si="64"/>
        <v>-0.14279037158214525</v>
      </c>
      <c r="CX24" s="20">
        <f t="shared" ca="1" si="65"/>
        <v>-9.5193581054763499E-2</v>
      </c>
      <c r="CY24" s="20">
        <f t="shared" ca="1" si="66"/>
        <v>-5.7116148632858098E-2</v>
      </c>
      <c r="CZ24" s="20">
        <f t="shared" ca="1" si="67"/>
        <v>-3.1731193684921166E-2</v>
      </c>
      <c r="DA24" s="20">
        <f t="shared" ca="1" si="68"/>
        <v>-1.6798867244958264E-2</v>
      </c>
      <c r="DB24" s="20">
        <f t="shared" ca="1" si="69"/>
        <v>-8.6539619140694087E-3</v>
      </c>
      <c r="DC24" s="20">
        <f t="shared" ca="1" si="70"/>
        <v>-4.3935498948352381E-3</v>
      </c>
      <c r="DD24" s="21">
        <f t="shared" ca="1" si="71"/>
        <v>4.3935498948352381E-3</v>
      </c>
      <c r="DE24" s="21">
        <f t="shared" ca="1" si="72"/>
        <v>8.6539619140694087E-3</v>
      </c>
      <c r="DF24" s="21">
        <f t="shared" ca="1" si="73"/>
        <v>1.6798867244958264E-2</v>
      </c>
      <c r="DG24" s="21">
        <f t="shared" ca="1" si="74"/>
        <v>3.1731193684921166E-2</v>
      </c>
      <c r="DH24" s="21">
        <f t="shared" ca="1" si="75"/>
        <v>5.7116148632858098E-2</v>
      </c>
      <c r="DI24" s="21">
        <f t="shared" ca="1" si="76"/>
        <v>9.5193581054763499E-2</v>
      </c>
      <c r="DJ24" s="21">
        <f t="shared" ca="1" si="77"/>
        <v>0.14279037158214525</v>
      </c>
      <c r="DL24" s="16" cm="1">
        <f t="array" aca="1" ref="DL24" ca="1">MAX(_xlfn._xlws.FILTER(CW24:DJ24,CW24:DJ24&lt;BU24))</f>
        <v>-3.1731193684921166E-2</v>
      </c>
      <c r="DM24" s="16" cm="1">
        <f t="array" aca="1" ref="DM24" ca="1">MIN(_xlfn._xlws.FILTER(CW24:DJ24,CW24:DJ24&gt;BU24))</f>
        <v>-1.6798867244958264E-2</v>
      </c>
      <c r="DN24" s="2" cm="1">
        <f t="array" aca="1" ref="DN24" ca="1">_FV(EC24,"Fechamento anterior",TRUE)</f>
        <v>15.33</v>
      </c>
      <c r="DO24" s="28">
        <f t="shared" ca="1" si="15"/>
        <v>0.46497753194051245</v>
      </c>
      <c r="DP24" s="15">
        <f t="shared" ca="1" si="78"/>
        <v>14.843560800810158</v>
      </c>
      <c r="DQ24" s="15">
        <f t="shared" ca="1" si="79"/>
        <v>15.07247336513479</v>
      </c>
      <c r="DR24" s="9"/>
      <c r="DS24" s="9"/>
      <c r="DT24" s="9"/>
      <c r="DU24" s="89">
        <v>8.940143170823138E-3</v>
      </c>
      <c r="DV24" s="89">
        <f t="shared" ca="1" si="18"/>
        <v>1.4932326439962902E-2</v>
      </c>
      <c r="DW24" s="72">
        <f t="shared" ca="1" si="19"/>
        <v>0.57880897341343163</v>
      </c>
      <c r="DX24" s="37"/>
      <c r="DY24" s="35">
        <f t="shared" si="39"/>
        <v>0.2418760012899176</v>
      </c>
      <c r="DZ24" s="56"/>
      <c r="EA24" s="56"/>
      <c r="EC24" s="2" t="e" vm="24">
        <v>#VALUE!</v>
      </c>
      <c r="EE24" s="10" cm="1">
        <f t="array" aca="1" ref="EE24" ca="1">_FV(EC24,"Ações em circulação",TRUE)</f>
        <v>56720760</v>
      </c>
      <c r="EF24" s="18">
        <f>VLOOKUP(BP24,Fundamentus!A:U,5,FALSE)</f>
        <v>0.55900000000000005</v>
      </c>
      <c r="EG24" s="2">
        <f t="shared" ca="1" si="20"/>
        <v>1516950558.1395347</v>
      </c>
      <c r="EH24" s="17">
        <v>35041557.893023252</v>
      </c>
      <c r="EI24" s="17">
        <f t="shared" ca="1" si="21"/>
        <v>35041557.893023252</v>
      </c>
      <c r="EK24" s="16">
        <f t="shared" ca="1" si="22"/>
        <v>0</v>
      </c>
      <c r="EL24" s="32" t="str">
        <f>IF(VLOOKUP(BP24,Fundamentus!A:U,3,FALSE)&lt;15,"Bom",IF(VLOOKUP(BP24,Fundamentus!A:U,3,FALSE)&gt;15,"Ruim","n/a"))</f>
        <v>Ruim</v>
      </c>
      <c r="EM24" s="28" t="str">
        <f>IF(VLOOKUP(BP24,Fundamentus!A:U,4,FALSE)&lt;1,"Baixo",IF(VLOOKUP(BP24,Fundamentus!A:U,4,FALSE)&lt;1.5,"Moderado",IF(VLOOKUP(BP24,Fundamentus!A:U,4,FALSE)&gt;1.5,"Alto","n/a")))</f>
        <v>Alto</v>
      </c>
      <c r="EN24" s="17" t="str">
        <f>IF(VLOOKUP(BP24,Fundamentus!A:U,8,FALSE)&lt;0,"Risco elevado",IF(VLOOKUP(BP24,Fundamentus!A:U,8,FALSE)&lt;1,"Saudável",IF(VLOOKUP(BP24,Fundamentus!A:U,8,FALSE)&lt;3,"Estável",IF(VLOOKUP(BP24,Fundamentus!A:U,8,FALSE)&gt;3,"Alerta","n/a"))))</f>
        <v>Estável</v>
      </c>
      <c r="EO24" s="28" t="str">
        <f t="shared" si="23"/>
        <v>Ruim</v>
      </c>
      <c r="EP24" s="17" t="str">
        <f>IF(VLOOKUP(BP24,Fundamentus!A:U,12,FALSE)&lt;2,"Subvalorizada",IF(VLOOKUP(BP24,Fundamentus!A:U,12,FALSE)&lt;6,"Muita barata",IF(VLOOKUP(BP24,Fundamentus!A:U,12,FALSE)&lt;6,"Barata",IF(VLOOKUP(BP24,Fundamentus!A:U,12,FALSE)&lt;8,"Atrativa",IF(VLOOKUP(BP24,Fundamentus!A:U,12,FALSE)&gt;8,"Supervalorizada","n/a")))))</f>
        <v>Atrativa</v>
      </c>
      <c r="ER24" s="17" t="str">
        <f>IF(VLOOKUP(BP24,Fundamentus!A:U,17,FALSE)&lt;0.1,"Fraco retorno",IF(VLOOKUP(BP24,Fundamentus!A:U,17,FALSE)&gt;0.1,"Bom retorno","n/a"))</f>
        <v>Fraco retorno</v>
      </c>
      <c r="ES24" s="17" t="str">
        <f>IF(VLOOKUP(BP24,Fundamentus!A:U,16,FALSE)&lt;0.1,"Ineficiente",IF(VLOOKUP(BP24,Fundamentus!A:U,16,FALSE)&gt;0.1,"Eficiente","n/a"))</f>
        <v>Ineficiente</v>
      </c>
      <c r="ET24" s="33" t="str">
        <f>IF(VLOOKUP(BP24,Fundamentus!A:U,16,FALSE)&lt;0.1,"Oper. Ineficiente",IF(VLOOKUP(BP24,Fundamentus!A:U,16,FALSE)&gt;0.1,"Oper.Eficiente","n/a"))</f>
        <v>Oper. Ineficiente</v>
      </c>
      <c r="EU24" s="34">
        <f>VLOOKUP(BP24,Fundamentus!A:U,14,FALSE)</f>
        <v>2.3099999999999999E-2</v>
      </c>
      <c r="EV24" s="17" t="str">
        <f>IF(VLOOKUP(BP24,Fundamentus!A:U,21,FALSE)&lt;0,"Negativo",IF(VLOOKUP(BP24,Fundamentus!A:U,21,FALSE)&lt;0.05,"Fraco",IF(VLOOKUP(BP24,Fundamentus!A:U,21,FALSE)&lt;0.1,"Bom",IF(VLOOKUP(BP24,Fundamentus!A:U,21,FALSE)&gt;0.1,"Muito bom","n/a"))))</f>
        <v>Muito bom</v>
      </c>
      <c r="EX24" s="29" t="str">
        <f>IF(VLOOKUP(BP24,Fundamentus!A:U,15,FALSE)&gt;1,"Bom",IF(VLOOKUP(BP24,Fundamentus!A:U,15,FALSE)&lt;1,"Ruim","n/a"))</f>
        <v>Bom</v>
      </c>
      <c r="EY24" s="17" t="str">
        <f>IF(VLOOKUP(BP24,Fundamentus!A:U,20,FALSE)&lt;0.5,"Baixa",IF(VLOOKUP(BP24,Fundamentus!A:U,20,FALSE)&lt;1,"Moderada",IF(VLOOKUP(BP24,Fundamentus!A:U,20,FALSE)&lt;2,"Alerta",IF(VLOOKUP(BP24,Fundamentus!A:U,20,FALSE)&gt;2,"Alta","n/a"))))</f>
        <v>Alerta</v>
      </c>
    </row>
    <row r="25" spans="1:156" s="2" customFormat="1" ht="11.25" x14ac:dyDescent="0.2">
      <c r="A25" s="4">
        <v>10.52</v>
      </c>
      <c r="B25" s="4">
        <v>10.28</v>
      </c>
      <c r="C25" s="4">
        <v>10.39</v>
      </c>
      <c r="D25" s="4">
        <v>10.35</v>
      </c>
      <c r="E25" s="4">
        <v>9.94</v>
      </c>
      <c r="F25" s="4">
        <v>10.18</v>
      </c>
      <c r="G25" s="4">
        <v>10.01</v>
      </c>
      <c r="H25" s="4">
        <v>10.51</v>
      </c>
      <c r="I25" s="4">
        <v>9.9</v>
      </c>
      <c r="J25" s="4">
        <v>10.37</v>
      </c>
      <c r="K25" s="4">
        <v>10.68</v>
      </c>
      <c r="L25" s="4">
        <v>10.55</v>
      </c>
      <c r="M25" s="4">
        <v>10.78</v>
      </c>
      <c r="N25" s="4">
        <v>10.68</v>
      </c>
      <c r="O25" s="4">
        <v>10.86</v>
      </c>
      <c r="P25" s="4">
        <v>11.61</v>
      </c>
      <c r="Q25" s="4">
        <v>12.01</v>
      </c>
      <c r="R25" s="4">
        <v>11.63</v>
      </c>
      <c r="S25" s="4">
        <v>11.84</v>
      </c>
      <c r="T25" s="4">
        <v>11.77</v>
      </c>
      <c r="U25" s="4">
        <v>11.57</v>
      </c>
      <c r="V25" s="4">
        <v>11.32</v>
      </c>
      <c r="W25" s="4">
        <v>11.16</v>
      </c>
      <c r="X25" s="4">
        <v>11.02</v>
      </c>
      <c r="Y25" s="4">
        <v>11.03</v>
      </c>
      <c r="Z25" s="4">
        <v>11.15</v>
      </c>
      <c r="AA25" s="4">
        <v>11.36</v>
      </c>
      <c r="AB25" s="4">
        <v>11.3</v>
      </c>
      <c r="AC25" s="4">
        <v>12.09</v>
      </c>
      <c r="AD25" s="4">
        <v>11.7</v>
      </c>
      <c r="AE25" s="4">
        <v>11.91</v>
      </c>
      <c r="AF25" s="4">
        <v>11.5</v>
      </c>
      <c r="AG25" s="4">
        <v>11.42</v>
      </c>
      <c r="AH25" s="4">
        <v>11.1</v>
      </c>
      <c r="AI25" s="4">
        <v>11.04</v>
      </c>
      <c r="AJ25" s="4">
        <v>10.84</v>
      </c>
      <c r="AK25" s="4">
        <v>10.47</v>
      </c>
      <c r="AL25" s="4">
        <v>10.46</v>
      </c>
      <c r="AM25" s="4">
        <v>10.5</v>
      </c>
      <c r="AN25" s="4">
        <v>10.96</v>
      </c>
      <c r="AO25" s="4">
        <v>10.97</v>
      </c>
      <c r="AP25" s="4">
        <v>11.38</v>
      </c>
      <c r="AQ25" s="4">
        <v>11.25</v>
      </c>
      <c r="AR25" s="4">
        <v>11.13</v>
      </c>
      <c r="AS25" s="4">
        <v>11.36</v>
      </c>
      <c r="AT25" s="4">
        <v>10.98</v>
      </c>
      <c r="AU25" s="4">
        <v>11.055</v>
      </c>
      <c r="AV25" s="4">
        <v>10.36</v>
      </c>
      <c r="AW25" s="4">
        <v>10</v>
      </c>
      <c r="AX25" s="4">
        <v>10.11</v>
      </c>
      <c r="AY25" s="12">
        <v>10.35</v>
      </c>
      <c r="AZ25" s="12">
        <v>10.93</v>
      </c>
      <c r="BA25" s="12">
        <v>10.95</v>
      </c>
      <c r="BB25" s="15">
        <v>10.41</v>
      </c>
      <c r="BC25" s="52">
        <v>10.53</v>
      </c>
      <c r="BD25" s="52">
        <v>10.7</v>
      </c>
      <c r="BE25" s="52">
        <v>10.84</v>
      </c>
      <c r="BF25" s="52">
        <v>10.48</v>
      </c>
      <c r="BG25" s="67">
        <v>10.57</v>
      </c>
      <c r="BH25" s="52">
        <v>10.75</v>
      </c>
      <c r="BI25" s="52">
        <v>10.48</v>
      </c>
      <c r="BJ25" s="52">
        <v>11.18</v>
      </c>
      <c r="BK25" s="52">
        <v>10.8</v>
      </c>
      <c r="BL25" s="52">
        <v>10.38</v>
      </c>
      <c r="BM25" s="52">
        <v>10.48</v>
      </c>
      <c r="BN25" s="52">
        <v>10.34</v>
      </c>
      <c r="BO25" s="52" cm="1">
        <f t="array" aca="1" ref="BO25" ca="1">_FV(EC25,"Preço")</f>
        <v>10.34</v>
      </c>
      <c r="BP25" s="69" t="s">
        <v>22</v>
      </c>
      <c r="BQ25" s="36" cm="1">
        <f t="array" aca="1" ref="BQ25" ca="1">_FV(EC25,"Média de volume",TRUE)</f>
        <v>10323350</v>
      </c>
      <c r="BR25" s="36">
        <v>7475300</v>
      </c>
      <c r="BS25" s="36" cm="1">
        <f t="array" aca="1" ref="BS25" ca="1">_FV(EC25,"Volume")</f>
        <v>7475300</v>
      </c>
      <c r="BT25" s="24" cm="1">
        <f t="array" aca="1" ref="BT25" ca="1">_FV(EC25,"Beta")</f>
        <v>0.80810000000000004</v>
      </c>
      <c r="BU25" s="71" cm="1">
        <f t="array" aca="1" ref="BU25" ca="1">_FV(EC25,"Variação (%)",TRUE)</f>
        <v>9.6809999999999995E-4</v>
      </c>
      <c r="BW25" s="17" cm="1">
        <f t="array" aca="1" ref="BW25" ca="1">_FV(EC25,"Baixo")</f>
        <v>10.31</v>
      </c>
      <c r="BX25" s="17" cm="1">
        <f t="array" aca="1" ref="BX25" ca="1">_FV(EC25,"Alto")</f>
        <v>10.48</v>
      </c>
      <c r="BY25" s="24"/>
      <c r="BZ25" s="63">
        <f ca="1">SQRT(22.5*(BO25/VLOOKUP(BP25,Fundamentus!A:U,3,FALSE))*(BO25/VLOOKUP(BP25,Fundamentus!A:U,4,FALSE)))</f>
        <v>22.706910420931276</v>
      </c>
      <c r="CB25" s="62">
        <f t="shared" ca="1" si="24"/>
        <v>0</v>
      </c>
      <c r="CC25" s="8"/>
      <c r="CD25" s="61">
        <f t="shared" si="25"/>
        <v>9.9</v>
      </c>
      <c r="CE25" s="61">
        <f t="shared" si="26"/>
        <v>12.09</v>
      </c>
      <c r="CF25" s="61">
        <f t="shared" si="27"/>
        <v>10.87159090909091</v>
      </c>
      <c r="CG25" s="14"/>
      <c r="CH25" s="35">
        <f t="shared" si="1"/>
        <v>9.5473421145675026</v>
      </c>
      <c r="CI25" s="15">
        <f t="shared" si="28"/>
        <v>10.180000000000064</v>
      </c>
      <c r="CJ25" s="35">
        <f t="shared" si="2"/>
        <v>10.812657885432625</v>
      </c>
      <c r="CL25" s="14"/>
      <c r="CM25" s="17">
        <f t="shared" si="3"/>
        <v>7.2733333333333317</v>
      </c>
      <c r="CN25" s="17">
        <f t="shared" si="4"/>
        <v>8.586666666666666</v>
      </c>
      <c r="CO25" s="17">
        <f t="shared" si="5"/>
        <v>9.4633333333333312</v>
      </c>
      <c r="CP25" s="38">
        <f t="shared" si="29"/>
        <v>10.776666666666666</v>
      </c>
      <c r="CQ25" s="17">
        <f t="shared" si="6"/>
        <v>11.653333333333331</v>
      </c>
      <c r="CR25" s="17">
        <f t="shared" si="7"/>
        <v>12.966666666666665</v>
      </c>
      <c r="CS25" s="17">
        <f t="shared" si="8"/>
        <v>13.84333333333333</v>
      </c>
      <c r="CT25" s="2" cm="1">
        <f t="array" aca="1" ref="CT25" ca="1">MAX(_xlfn._xlws.FILTER(CM25:CS25,CM25:CS25&lt;BO25))</f>
        <v>9.4633333333333312</v>
      </c>
      <c r="CU25" s="2" cm="1">
        <f t="array" aca="1" ref="CU25" ca="1">MIN(_xlfn._xlws.FILTER($CM25:$CS25,$CM25:$CS25&gt;BO25))</f>
        <v>10.776666666666666</v>
      </c>
      <c r="CV25" s="16">
        <f t="shared" ca="1" si="63"/>
        <v>0.13878126100739707</v>
      </c>
      <c r="CW25" s="20">
        <f t="shared" ca="1" si="64"/>
        <v>-6.9390630503698536E-2</v>
      </c>
      <c r="CX25" s="20">
        <f t="shared" ca="1" si="65"/>
        <v>-4.6260420335799024E-2</v>
      </c>
      <c r="CY25" s="20">
        <f t="shared" ca="1" si="66"/>
        <v>-2.7756252201479415E-2</v>
      </c>
      <c r="CZ25" s="20">
        <f t="shared" ca="1" si="67"/>
        <v>-1.5420140111933009E-2</v>
      </c>
      <c r="DA25" s="20">
        <f t="shared" ca="1" si="68"/>
        <v>-8.1636035886704164E-3</v>
      </c>
      <c r="DB25" s="20">
        <f t="shared" ca="1" si="69"/>
        <v>-4.2054927577999113E-3</v>
      </c>
      <c r="DC25" s="20">
        <f t="shared" ca="1" si="70"/>
        <v>-2.1350963231907241E-3</v>
      </c>
      <c r="DD25" s="21">
        <f t="shared" ca="1" si="71"/>
        <v>2.1350963231907241E-3</v>
      </c>
      <c r="DE25" s="21">
        <f t="shared" ca="1" si="72"/>
        <v>4.2054927577999113E-3</v>
      </c>
      <c r="DF25" s="21">
        <f t="shared" ca="1" si="73"/>
        <v>8.1636035886704164E-3</v>
      </c>
      <c r="DG25" s="21">
        <f t="shared" ca="1" si="74"/>
        <v>1.5420140111933009E-2</v>
      </c>
      <c r="DH25" s="21">
        <f t="shared" ca="1" si="75"/>
        <v>2.7756252201479415E-2</v>
      </c>
      <c r="DI25" s="21">
        <f t="shared" ca="1" si="76"/>
        <v>4.6260420335799024E-2</v>
      </c>
      <c r="DJ25" s="21">
        <f t="shared" ca="1" si="77"/>
        <v>6.9390630503698536E-2</v>
      </c>
      <c r="DL25" s="16" cm="1">
        <f t="array" aca="1" ref="DL25" ca="1">MAX(_xlfn._xlws.FILTER(CW25:DJ25,CW25:DJ25&lt;BU25))</f>
        <v>-2.1350963231907241E-3</v>
      </c>
      <c r="DM25" s="16" cm="1">
        <f t="array" aca="1" ref="DM25" ca="1">MIN(_xlfn._xlws.FILTER(CW25:DJ25,CW25:DJ25&gt;BU25))</f>
        <v>2.1350963231907241E-3</v>
      </c>
      <c r="DN25" s="2" cm="1">
        <f t="array" aca="1" ref="DN25" ca="1">_FV(EC25,"Fechamento anterior",TRUE)</f>
        <v>10.33</v>
      </c>
      <c r="DO25" s="28">
        <f t="shared" ca="1" si="15"/>
        <v>0.72670036019478712</v>
      </c>
      <c r="DP25" s="15">
        <f t="shared" ca="1" si="78"/>
        <v>10.30794445498144</v>
      </c>
      <c r="DQ25" s="15">
        <f t="shared" ca="1" si="79"/>
        <v>10.35205554501856</v>
      </c>
      <c r="DR25" s="9"/>
      <c r="DS25" s="9"/>
      <c r="DT25" s="9"/>
      <c r="DU25" s="89">
        <v>3.9069176861279966E-3</v>
      </c>
      <c r="DV25" s="89">
        <f t="shared" ca="1" si="18"/>
        <v>4.2701926463814483E-3</v>
      </c>
      <c r="DW25" s="72">
        <f t="shared" ca="1" si="19"/>
        <v>0.25290129734262451</v>
      </c>
      <c r="DX25" s="37"/>
      <c r="DY25" s="35">
        <f t="shared" si="39"/>
        <v>0.31632894271628054</v>
      </c>
      <c r="DZ25" s="56"/>
      <c r="EA25" s="56"/>
      <c r="EC25" s="2" t="e" vm="25">
        <v>#VALUE!</v>
      </c>
      <c r="EE25" s="10" cm="1">
        <f t="array" aca="1" ref="EE25" ca="1">_FV(EC25,"Ações em circulação",TRUE)</f>
        <v>2861782000</v>
      </c>
      <c r="EF25" s="18">
        <f>VLOOKUP(BP25,Fundamentus!A:U,5,FALSE)</f>
        <v>0.746</v>
      </c>
      <c r="EG25" s="2">
        <f t="shared" ca="1" si="20"/>
        <v>39665986434.316353</v>
      </c>
      <c r="EH25" s="17">
        <v>6842382659.91957</v>
      </c>
      <c r="EI25" s="17">
        <f t="shared" ca="1" si="21"/>
        <v>6842382659.91957</v>
      </c>
      <c r="EK25" s="16">
        <f t="shared" ca="1" si="22"/>
        <v>0</v>
      </c>
      <c r="EL25" s="32" t="str">
        <f>IF(VLOOKUP(BP25,Fundamentus!A:U,3,FALSE)&lt;15,"Bom",IF(VLOOKUP(BP25,Fundamentus!A:U,3,FALSE)&gt;15,"Ruim","n/a"))</f>
        <v>Bom</v>
      </c>
      <c r="EM25" s="28" t="str">
        <f>IF(VLOOKUP(BP25,Fundamentus!A:U,4,FALSE)&lt;1,"Baixo",IF(VLOOKUP(BP25,Fundamentus!A:U,4,FALSE)&lt;1.5,"Moderado",IF(VLOOKUP(BP25,Fundamentus!A:U,4,FALSE)&gt;1.5,"Alto","n/a")))</f>
        <v>Moderado</v>
      </c>
      <c r="EN25" s="17" t="str">
        <f>IF(VLOOKUP(BP25,Fundamentus!A:U,8,FALSE)&lt;0,"Risco elevado",IF(VLOOKUP(BP25,Fundamentus!A:U,8,FALSE)&lt;1,"Saudável",IF(VLOOKUP(BP25,Fundamentus!A:U,8,FALSE)&lt;3,"Estável",IF(VLOOKUP(BP25,Fundamentus!A:U,8,FALSE)&gt;3,"Alerta","n/a"))))</f>
        <v>Alerta</v>
      </c>
      <c r="EO25" s="28" t="str">
        <f t="shared" si="23"/>
        <v>Ruim</v>
      </c>
      <c r="EP25" s="17" t="str">
        <f>IF(VLOOKUP(BP25,Fundamentus!A:U,12,FALSE)&lt;2,"Subvalorizada",IF(VLOOKUP(BP25,Fundamentus!A:U,12,FALSE)&lt;6,"Muita barata",IF(VLOOKUP(BP25,Fundamentus!A:U,12,FALSE)&lt;6,"Barata",IF(VLOOKUP(BP25,Fundamentus!A:U,12,FALSE)&lt;8,"Atrativa",IF(VLOOKUP(BP25,Fundamentus!A:U,12,FALSE)&gt;8,"Supervalorizada","n/a")))))</f>
        <v>Muita barata</v>
      </c>
      <c r="ER25" s="17" t="str">
        <f>IF(VLOOKUP(BP25,Fundamentus!A:U,17,FALSE)&lt;0.1,"Fraco retorno",IF(VLOOKUP(BP25,Fundamentus!A:U,17,FALSE)&gt;0.1,"Bom retorno","n/a"))</f>
        <v>Bom retorno</v>
      </c>
      <c r="ES25" s="17" t="str">
        <f>IF(VLOOKUP(BP25,Fundamentus!A:U,16,FALSE)&lt;0.1,"Ineficiente",IF(VLOOKUP(BP25,Fundamentus!A:U,16,FALSE)&gt;0.1,"Eficiente","n/a"))</f>
        <v>Eficiente</v>
      </c>
      <c r="ET25" s="33" t="str">
        <f>IF(VLOOKUP(BP25,Fundamentus!A:U,16,FALSE)&lt;0.1,"Oper. Ineficiente",IF(VLOOKUP(BP25,Fundamentus!A:U,16,FALSE)&gt;0.1,"Oper.Eficiente","n/a"))</f>
        <v>Oper.Eficiente</v>
      </c>
      <c r="EU25" s="34">
        <f>VLOOKUP(BP25,Fundamentus!A:U,14,FALSE)</f>
        <v>0.17249999999999999</v>
      </c>
      <c r="EV25" s="17" t="str">
        <f>IF(VLOOKUP(BP25,Fundamentus!A:U,21,FALSE)&lt;0,"Negativo",IF(VLOOKUP(BP25,Fundamentus!A:U,21,FALSE)&lt;0.05,"Fraco",IF(VLOOKUP(BP25,Fundamentus!A:U,21,FALSE)&lt;0.1,"Bom",IF(VLOOKUP(BP25,Fundamentus!A:U,21,FALSE)&gt;0.1,"Muito bom","n/a"))))</f>
        <v>Bom</v>
      </c>
      <c r="EX25" s="29" t="str">
        <f>IF(VLOOKUP(BP25,Fundamentus!A:U,15,FALSE)&gt;1,"Bom",IF(VLOOKUP(BP25,Fundamentus!A:U,15,FALSE)&lt;1,"Ruim","n/a"))</f>
        <v>Bom</v>
      </c>
      <c r="EY25" s="17" t="str">
        <f>IF(VLOOKUP(BP25,Fundamentus!A:U,20,FALSE)&lt;0.5,"Baixa",IF(VLOOKUP(BP25,Fundamentus!A:U,20,FALSE)&lt;1,"Moderada",IF(VLOOKUP(BP25,Fundamentus!A:U,20,FALSE)&lt;2,"Alerta",IF(VLOOKUP(BP25,Fundamentus!A:U,20,FALSE)&gt;2,"Alta","n/a"))))</f>
        <v>Moderada</v>
      </c>
    </row>
    <row r="26" spans="1:156" s="2" customFormat="1" ht="11.25" x14ac:dyDescent="0.2">
      <c r="A26" s="4">
        <v>9.6</v>
      </c>
      <c r="B26" s="4">
        <v>9.56</v>
      </c>
      <c r="C26" s="4">
        <v>9.5</v>
      </c>
      <c r="D26" s="4">
        <v>9.6999999999999993</v>
      </c>
      <c r="E26" s="4">
        <v>9.75</v>
      </c>
      <c r="F26" s="4">
        <v>9.49</v>
      </c>
      <c r="G26" s="4">
        <v>9.3800000000000008</v>
      </c>
      <c r="H26" s="4">
        <v>9.59</v>
      </c>
      <c r="I26" s="4">
        <v>9.74</v>
      </c>
      <c r="J26" s="4">
        <v>9.65</v>
      </c>
      <c r="K26" s="4">
        <v>9.8000000000000007</v>
      </c>
      <c r="L26" s="4">
        <v>9.7200000000000006</v>
      </c>
      <c r="M26" s="4">
        <v>9.77</v>
      </c>
      <c r="N26" s="4">
        <v>9.6199999999999992</v>
      </c>
      <c r="O26" s="4">
        <v>9.35</v>
      </c>
      <c r="P26" s="4">
        <v>9.41</v>
      </c>
      <c r="Q26" s="4">
        <v>9.6999999999999993</v>
      </c>
      <c r="R26" s="4">
        <v>9.86</v>
      </c>
      <c r="S26" s="4">
        <v>9.6199999999999992</v>
      </c>
      <c r="T26" s="4">
        <v>9.6</v>
      </c>
      <c r="U26" s="4">
        <v>9.5399999999999991</v>
      </c>
      <c r="V26" s="4">
        <v>9.35</v>
      </c>
      <c r="W26" s="4">
        <v>9.2200000000000006</v>
      </c>
      <c r="X26" s="4">
        <v>9.1999999999999993</v>
      </c>
      <c r="Y26" s="4">
        <v>9.02</v>
      </c>
      <c r="Z26" s="4">
        <v>8.9</v>
      </c>
      <c r="AA26" s="4">
        <v>8.9499999999999993</v>
      </c>
      <c r="AB26" s="4">
        <v>8.76</v>
      </c>
      <c r="AC26" s="4">
        <v>8.58</v>
      </c>
      <c r="AD26" s="4">
        <v>8.61</v>
      </c>
      <c r="AE26" s="4">
        <v>8.65</v>
      </c>
      <c r="AF26" s="4">
        <v>8.61</v>
      </c>
      <c r="AG26" s="4">
        <v>8.42</v>
      </c>
      <c r="AH26" s="4">
        <v>8.4499999999999993</v>
      </c>
      <c r="AI26" s="4">
        <v>8.6999999999999993</v>
      </c>
      <c r="AJ26" s="4">
        <v>8.65</v>
      </c>
      <c r="AK26" s="4">
        <v>8.43</v>
      </c>
      <c r="AL26" s="4">
        <v>8.4</v>
      </c>
      <c r="AM26" s="4">
        <v>8.4700000000000006</v>
      </c>
      <c r="AN26" s="4">
        <v>8.51</v>
      </c>
      <c r="AO26" s="4">
        <v>8.5299999999999994</v>
      </c>
      <c r="AP26" s="4">
        <v>8.44</v>
      </c>
      <c r="AQ26" s="4">
        <v>8.42</v>
      </c>
      <c r="AR26" s="4">
        <v>8.39</v>
      </c>
      <c r="AS26" s="4">
        <v>8.42</v>
      </c>
      <c r="AT26" s="4">
        <v>8.33</v>
      </c>
      <c r="AU26" s="4">
        <v>8.4550000000000001</v>
      </c>
      <c r="AV26" s="4">
        <v>8.9</v>
      </c>
      <c r="AW26" s="4">
        <v>8.75</v>
      </c>
      <c r="AX26" s="4">
        <v>8.5500000000000007</v>
      </c>
      <c r="AY26" s="12">
        <v>8.69</v>
      </c>
      <c r="AZ26" s="12">
        <v>8.75</v>
      </c>
      <c r="BA26" s="12">
        <v>8.9700000000000006</v>
      </c>
      <c r="BB26" s="15">
        <v>8.85</v>
      </c>
      <c r="BC26" s="52">
        <v>8.73</v>
      </c>
      <c r="BD26" s="52">
        <v>8.7899999999999991</v>
      </c>
      <c r="BE26" s="52">
        <v>8.73</v>
      </c>
      <c r="BF26" s="52">
        <v>8.68</v>
      </c>
      <c r="BG26" s="67">
        <v>8.65</v>
      </c>
      <c r="BH26" s="52">
        <v>8.65</v>
      </c>
      <c r="BI26" s="52">
        <v>8.4700000000000006</v>
      </c>
      <c r="BJ26" s="52">
        <v>8.59</v>
      </c>
      <c r="BK26" s="52">
        <v>8.52</v>
      </c>
      <c r="BL26" s="52">
        <v>8.42</v>
      </c>
      <c r="BM26" s="52">
        <v>8.39</v>
      </c>
      <c r="BN26" s="52">
        <v>8.48</v>
      </c>
      <c r="BO26" s="52" cm="1">
        <f t="array" aca="1" ref="BO26" ca="1">_FV(EC26,"Preço")</f>
        <v>8.48</v>
      </c>
      <c r="BP26" s="69" t="s">
        <v>23</v>
      </c>
      <c r="BQ26" s="36" cm="1">
        <f t="array" aca="1" ref="BQ26" ca="1">_FV(EC26,"Média de volume",TRUE)</f>
        <v>9450</v>
      </c>
      <c r="BR26" s="36">
        <v>2300</v>
      </c>
      <c r="BS26" s="36" cm="1">
        <f t="array" aca="1" ref="BS26" ca="1">_FV(EC26,"Volume")</f>
        <v>2300</v>
      </c>
      <c r="BT26" s="24" cm="1">
        <f t="array" aca="1" ref="BT26" ca="1">_FV(EC26,"Beta")</f>
        <v>0.43819999999999998</v>
      </c>
      <c r="BU26" s="71" cm="1">
        <f t="array" aca="1" ref="BU26" ca="1">_FV(EC26,"Variação (%)",TRUE)</f>
        <v>-1.2806E-2</v>
      </c>
      <c r="BW26" s="17" cm="1">
        <f t="array" aca="1" ref="BW26" ca="1">_FV(EC26,"Baixo")</f>
        <v>8.43</v>
      </c>
      <c r="BX26" s="17" cm="1">
        <f t="array" aca="1" ref="BX26" ca="1">_FV(EC26,"Alto")</f>
        <v>8.58</v>
      </c>
      <c r="BY26" s="24"/>
      <c r="BZ26" s="63">
        <f ca="1">SQRT(22.5*(BO26/VLOOKUP(BP26,Fundamentus!A:U,3,FALSE))*(BO26/VLOOKUP(BP26,Fundamentus!A:U,4,FALSE)))</f>
        <v>14.136125930344058</v>
      </c>
      <c r="CB26" s="62">
        <f t="shared" ca="1" si="24"/>
        <v>0</v>
      </c>
      <c r="CC26" s="8"/>
      <c r="CD26" s="61">
        <f t="shared" si="25"/>
        <v>8.33</v>
      </c>
      <c r="CE26" s="61">
        <f t="shared" si="26"/>
        <v>9.86</v>
      </c>
      <c r="CF26" s="61">
        <f t="shared" si="27"/>
        <v>8.9602272727272716</v>
      </c>
      <c r="CG26" s="14"/>
      <c r="CH26" s="35">
        <f t="shared" si="1"/>
        <v>8.2724517625503484</v>
      </c>
      <c r="CI26" s="15">
        <f t="shared" si="28"/>
        <v>8.414999999999992</v>
      </c>
      <c r="CJ26" s="35">
        <f t="shared" si="2"/>
        <v>8.5575482374496357</v>
      </c>
      <c r="CL26" s="14"/>
      <c r="CM26" s="17">
        <f t="shared" si="3"/>
        <v>6.3899999999999988</v>
      </c>
      <c r="CN26" s="17">
        <f t="shared" si="4"/>
        <v>7.3599999999999994</v>
      </c>
      <c r="CO26" s="17">
        <f t="shared" si="5"/>
        <v>7.9199999999999982</v>
      </c>
      <c r="CP26" s="38">
        <f t="shared" si="29"/>
        <v>8.8899999999999988</v>
      </c>
      <c r="CQ26" s="17">
        <f t="shared" si="6"/>
        <v>9.4499999999999975</v>
      </c>
      <c r="CR26" s="17">
        <f t="shared" si="7"/>
        <v>10.419999999999998</v>
      </c>
      <c r="CS26" s="17">
        <f t="shared" si="8"/>
        <v>10.979999999999997</v>
      </c>
      <c r="CT26" s="2" cm="1">
        <f t="array" aca="1" ref="CT26" ca="1">MAX(_xlfn._xlws.FILTER(CM26:CS26,CM26:CS26&lt;BO26))</f>
        <v>7.9199999999999982</v>
      </c>
      <c r="CU26" s="2" cm="1">
        <f t="array" aca="1" ref="CU26" ca="1">MIN(_xlfn._xlws.FILTER($CM26:$CS26,$CM26:$CS26&gt;BO26))</f>
        <v>8.8899999999999988</v>
      </c>
      <c r="CV26" s="16">
        <f t="shared" ca="1" si="63"/>
        <v>0.12247474747474763</v>
      </c>
      <c r="CW26" s="20">
        <f t="shared" ca="1" si="64"/>
        <v>-6.1237373737373813E-2</v>
      </c>
      <c r="CX26" s="20">
        <f t="shared" ca="1" si="65"/>
        <v>-4.0824915824915875E-2</v>
      </c>
      <c r="CY26" s="20">
        <f t="shared" ca="1" si="66"/>
        <v>-2.4494949494949524E-2</v>
      </c>
      <c r="CZ26" s="20">
        <f t="shared" ca="1" si="67"/>
        <v>-1.3608305274971958E-2</v>
      </c>
      <c r="DA26" s="20">
        <f t="shared" ca="1" si="68"/>
        <v>-7.2043969102792722E-3</v>
      </c>
      <c r="DB26" s="20">
        <f t="shared" ca="1" si="69"/>
        <v>-3.7113559840832614E-3</v>
      </c>
      <c r="DC26" s="20">
        <f t="shared" ca="1" si="70"/>
        <v>-1.8842268842268865E-3</v>
      </c>
      <c r="DD26" s="21">
        <f t="shared" ca="1" si="71"/>
        <v>1.8842268842268865E-3</v>
      </c>
      <c r="DE26" s="21">
        <f t="shared" ca="1" si="72"/>
        <v>3.7113559840832614E-3</v>
      </c>
      <c r="DF26" s="21">
        <f t="shared" ca="1" si="73"/>
        <v>7.2043969102792722E-3</v>
      </c>
      <c r="DG26" s="21">
        <f t="shared" ca="1" si="74"/>
        <v>1.3608305274971958E-2</v>
      </c>
      <c r="DH26" s="21">
        <f t="shared" ca="1" si="75"/>
        <v>2.4494949494949524E-2</v>
      </c>
      <c r="DI26" s="21">
        <f t="shared" ca="1" si="76"/>
        <v>4.0824915824915875E-2</v>
      </c>
      <c r="DJ26" s="21">
        <f t="shared" ca="1" si="77"/>
        <v>6.1237373737373813E-2</v>
      </c>
      <c r="DL26" s="16" cm="1">
        <f t="array" aca="1" ref="DL26" ca="1">MAX(_xlfn._xlws.FILTER(CW26:DJ26,CW26:DJ26&lt;BU26))</f>
        <v>-1.3608305274971958E-2</v>
      </c>
      <c r="DM26" s="16" cm="1">
        <f t="array" aca="1" ref="DM26" ca="1">MIN(_xlfn._xlws.FILTER(CW26:DJ26,CW26:DJ26&gt;BU26))</f>
        <v>-7.2043969102792722E-3</v>
      </c>
      <c r="DN26" s="2" cm="1">
        <f t="array" aca="1" ref="DN26" ca="1">_FV(EC26,"Fechamento anterior",TRUE)</f>
        <v>8.59</v>
      </c>
      <c r="DO26" s="28">
        <f t="shared" ca="1" si="15"/>
        <v>0.12534804315736672</v>
      </c>
      <c r="DP26" s="15">
        <f t="shared" ca="1" si="78"/>
        <v>8.4731046576879905</v>
      </c>
      <c r="DQ26" s="15">
        <f t="shared" ca="1" si="79"/>
        <v>8.5281142305407016</v>
      </c>
      <c r="DR26" s="9"/>
      <c r="DS26" s="9"/>
      <c r="DT26" s="9"/>
      <c r="DU26" s="89">
        <v>3.8656774697383841E-3</v>
      </c>
      <c r="DV26" s="89">
        <f t="shared" ca="1" si="18"/>
        <v>6.4039083646926856E-3</v>
      </c>
      <c r="DW26" s="72">
        <f t="shared" ca="1" si="19"/>
        <v>0.45598599577893895</v>
      </c>
      <c r="DX26" s="37"/>
      <c r="DY26" s="35">
        <f t="shared" si="39"/>
        <v>7.1274118724821617E-2</v>
      </c>
      <c r="DZ26" s="56"/>
      <c r="EA26" s="56"/>
      <c r="EC26" s="2" t="e" vm="26">
        <v>#VALUE!</v>
      </c>
      <c r="EE26" s="10" cm="1">
        <f t="array" aca="1" ref="EE26" ca="1">_FV(EC26,"Ações em circulação",TRUE)</f>
        <v>315912900</v>
      </c>
      <c r="EF26" s="18">
        <f>VLOOKUP(BP26,Fundamentus!A:U,5,FALSE)</f>
        <v>0</v>
      </c>
      <c r="EG26" s="2" t="e">
        <f t="shared" ca="1" si="20"/>
        <v>#DIV/0!</v>
      </c>
      <c r="EH26" s="17" t="e">
        <v>#DIV/0!</v>
      </c>
      <c r="EI26" s="17" t="e">
        <f t="shared" ca="1" si="21"/>
        <v>#DIV/0!</v>
      </c>
      <c r="EK26" s="16" t="e">
        <f t="shared" ca="1" si="22"/>
        <v>#DIV/0!</v>
      </c>
      <c r="EL26" s="32" t="str">
        <f>IF(VLOOKUP(BP26,Fundamentus!A:U,3,FALSE)&lt;15,"Bom",IF(VLOOKUP(BP26,Fundamentus!A:U,3,FALSE)&gt;15,"Ruim","n/a"))</f>
        <v>Bom</v>
      </c>
      <c r="EM26" s="28" t="str">
        <f>IF(VLOOKUP(BP26,Fundamentus!A:U,4,FALSE)&lt;1,"Baixo",IF(VLOOKUP(BP26,Fundamentus!A:U,4,FALSE)&lt;1.5,"Moderado",IF(VLOOKUP(BP26,Fundamentus!A:U,4,FALSE)&gt;1.5,"Alto","n/a")))</f>
        <v>Moderado</v>
      </c>
      <c r="EN26" s="17" t="str">
        <f>IF(VLOOKUP(BP26,Fundamentus!A:U,8,FALSE)&lt;0,"Risco elevado",IF(VLOOKUP(BP26,Fundamentus!A:U,8,FALSE)&lt;1,"Saudável",IF(VLOOKUP(BP26,Fundamentus!A:U,8,FALSE)&lt;3,"Estável",IF(VLOOKUP(BP26,Fundamentus!A:U,8,FALSE)&gt;3,"Alerta","n/a"))))</f>
        <v>Saudável</v>
      </c>
      <c r="EO26" s="28" t="str">
        <f t="shared" si="23"/>
        <v>Ruim</v>
      </c>
      <c r="EP26" s="17" t="str">
        <f>IF(VLOOKUP(BP26,Fundamentus!A:U,12,FALSE)&lt;2,"Subvalorizada",IF(VLOOKUP(BP26,Fundamentus!A:U,12,FALSE)&lt;6,"Muita barata",IF(VLOOKUP(BP26,Fundamentus!A:U,12,FALSE)&lt;6,"Barata",IF(VLOOKUP(BP26,Fundamentus!A:U,12,FALSE)&lt;8,"Atrativa",IF(VLOOKUP(BP26,Fundamentus!A:U,12,FALSE)&gt;8,"Supervalorizada","n/a")))))</f>
        <v>Subvalorizada</v>
      </c>
      <c r="ER26" s="17" t="str">
        <f>IF(VLOOKUP(BP26,Fundamentus!A:U,17,FALSE)&lt;0.1,"Fraco retorno",IF(VLOOKUP(BP26,Fundamentus!A:U,17,FALSE)&gt;0.1,"Bom retorno","n/a"))</f>
        <v>Bom retorno</v>
      </c>
      <c r="ES26" s="17" t="str">
        <f>IF(VLOOKUP(BP26,Fundamentus!A:U,16,FALSE)&lt;0.1,"Ineficiente",IF(VLOOKUP(BP26,Fundamentus!A:U,16,FALSE)&gt;0.1,"Eficiente","n/a"))</f>
        <v>Ineficiente</v>
      </c>
      <c r="ET26" s="33" t="str">
        <f>IF(VLOOKUP(BP26,Fundamentus!A:U,16,FALSE)&lt;0.1,"Oper. Ineficiente",IF(VLOOKUP(BP26,Fundamentus!A:U,16,FALSE)&gt;0.1,"Oper.Eficiente","n/a"))</f>
        <v>Oper. Ineficiente</v>
      </c>
      <c r="EU26" s="34">
        <f>VLOOKUP(BP26,Fundamentus!A:U,14,FALSE)</f>
        <v>0</v>
      </c>
      <c r="EV26" s="17" t="str">
        <f>IF(VLOOKUP(BP26,Fundamentus!A:U,21,FALSE)&lt;0,"Negativo",IF(VLOOKUP(BP26,Fundamentus!A:U,21,FALSE)&lt;0.05,"Fraco",IF(VLOOKUP(BP26,Fundamentus!A:U,21,FALSE)&lt;0.1,"Bom",IF(VLOOKUP(BP26,Fundamentus!A:U,21,FALSE)&gt;0.1,"Muito bom","n/a"))))</f>
        <v>Muito bom</v>
      </c>
      <c r="EX26" s="29" t="str">
        <f>IF(VLOOKUP(BP26,Fundamentus!A:U,15,FALSE)&gt;1,"Bom",IF(VLOOKUP(BP26,Fundamentus!A:U,15,FALSE)&lt;1,"Ruim","n/a"))</f>
        <v>Ruim</v>
      </c>
      <c r="EY26" s="17" t="str">
        <f>IF(VLOOKUP(BP26,Fundamentus!A:U,20,FALSE)&lt;0.5,"Baixa",IF(VLOOKUP(BP26,Fundamentus!A:U,20,FALSE)&lt;1,"Moderada",IF(VLOOKUP(BP26,Fundamentus!A:U,20,FALSE)&lt;2,"Alerta",IF(VLOOKUP(BP26,Fundamentus!A:U,20,FALSE)&gt;2,"Alta","n/a"))))</f>
        <v>Baixa</v>
      </c>
    </row>
    <row r="27" spans="1:156" s="5" customFormat="1" ht="11.25" x14ac:dyDescent="0.2">
      <c r="A27" s="4">
        <v>5.4</v>
      </c>
      <c r="B27" s="4">
        <v>5.2</v>
      </c>
      <c r="C27" s="4">
        <v>5.43</v>
      </c>
      <c r="D27" s="4">
        <v>5.38</v>
      </c>
      <c r="E27" s="4">
        <v>5.09</v>
      </c>
      <c r="F27" s="4">
        <v>4.84</v>
      </c>
      <c r="G27" s="4">
        <v>4.75</v>
      </c>
      <c r="H27" s="4">
        <v>4.8899999999999997</v>
      </c>
      <c r="I27" s="4">
        <v>4.9400000000000004</v>
      </c>
      <c r="J27" s="4">
        <v>5.05</v>
      </c>
      <c r="K27" s="4">
        <v>5.17</v>
      </c>
      <c r="L27" s="4">
        <v>5.12</v>
      </c>
      <c r="M27" s="4">
        <v>4.96</v>
      </c>
      <c r="N27" s="4">
        <v>5.3</v>
      </c>
      <c r="O27" s="4">
        <v>5.5</v>
      </c>
      <c r="P27" s="4">
        <v>5.3</v>
      </c>
      <c r="Q27" s="4">
        <v>5.38</v>
      </c>
      <c r="R27" s="4">
        <v>5.77</v>
      </c>
      <c r="S27" s="4">
        <v>6.04</v>
      </c>
      <c r="T27" s="4">
        <v>6.13</v>
      </c>
      <c r="U27" s="4">
        <v>5.94</v>
      </c>
      <c r="V27" s="4">
        <v>6.21</v>
      </c>
      <c r="W27" s="4">
        <v>6.15</v>
      </c>
      <c r="X27" s="4">
        <v>6.1</v>
      </c>
      <c r="Y27" s="4">
        <v>6.56</v>
      </c>
      <c r="Z27" s="4">
        <v>6.59</v>
      </c>
      <c r="AA27" s="4">
        <v>6.38</v>
      </c>
      <c r="AB27" s="4">
        <v>6.67</v>
      </c>
      <c r="AC27" s="4">
        <v>7.06</v>
      </c>
      <c r="AD27" s="4">
        <v>7.28</v>
      </c>
      <c r="AE27" s="4">
        <v>6.38</v>
      </c>
      <c r="AF27" s="4">
        <v>6.28</v>
      </c>
      <c r="AG27" s="4">
        <v>6.24</v>
      </c>
      <c r="AH27" s="4">
        <v>5.4</v>
      </c>
      <c r="AI27" s="4">
        <v>5.62</v>
      </c>
      <c r="AJ27" s="4">
        <v>5.67</v>
      </c>
      <c r="AK27" s="4">
        <v>5.55</v>
      </c>
      <c r="AL27" s="4">
        <v>5.96</v>
      </c>
      <c r="AM27" s="4">
        <v>6.29</v>
      </c>
      <c r="AN27" s="4">
        <v>6.38</v>
      </c>
      <c r="AO27" s="4">
        <v>6.07</v>
      </c>
      <c r="AP27" s="4">
        <v>6.4</v>
      </c>
      <c r="AQ27" s="4">
        <v>6.12</v>
      </c>
      <c r="AR27" s="4">
        <v>5.75</v>
      </c>
      <c r="AS27" s="4">
        <v>5.7</v>
      </c>
      <c r="AT27" s="4">
        <v>5.67</v>
      </c>
      <c r="AU27" s="4">
        <v>5.5500000000000007</v>
      </c>
      <c r="AV27" s="4">
        <v>5.22</v>
      </c>
      <c r="AW27" s="4">
        <v>4.74</v>
      </c>
      <c r="AX27" s="4">
        <v>4.68</v>
      </c>
      <c r="AY27" s="12">
        <v>5.09</v>
      </c>
      <c r="AZ27" s="12">
        <v>5.29</v>
      </c>
      <c r="BA27" s="12">
        <v>5.46</v>
      </c>
      <c r="BB27" s="15">
        <v>5.34</v>
      </c>
      <c r="BC27" s="52">
        <v>5.68</v>
      </c>
      <c r="BD27" s="52">
        <v>5.56</v>
      </c>
      <c r="BE27" s="52">
        <v>5.84</v>
      </c>
      <c r="BF27" s="52">
        <v>6.03</v>
      </c>
      <c r="BG27" s="67">
        <v>6.2</v>
      </c>
      <c r="BH27" s="52">
        <v>6.25</v>
      </c>
      <c r="BI27" s="52">
        <v>6.46</v>
      </c>
      <c r="BJ27" s="52">
        <v>6.53</v>
      </c>
      <c r="BK27" s="52">
        <v>6.44</v>
      </c>
      <c r="BL27" s="52">
        <v>6.44</v>
      </c>
      <c r="BM27" s="52">
        <v>6.71</v>
      </c>
      <c r="BN27" s="52">
        <v>7.01</v>
      </c>
      <c r="BO27" s="52" cm="1">
        <f t="array" aca="1" ref="BO27" ca="1">_FV(EC27,"Preço")</f>
        <v>7.01</v>
      </c>
      <c r="BP27" s="69" t="s">
        <v>24</v>
      </c>
      <c r="BQ27" s="36" cm="1">
        <f t="array" aca="1" ref="BQ27" ca="1">_FV(EC27,"Média de volume",TRUE)</f>
        <v>10186510</v>
      </c>
      <c r="BR27" s="36">
        <v>446700</v>
      </c>
      <c r="BS27" s="36" cm="1">
        <f t="array" aca="1" ref="BS27" ca="1">_FV(EC27,"Volume")</f>
        <v>446700</v>
      </c>
      <c r="BT27" s="24" cm="1">
        <f t="array" aca="1" ref="BT27" ca="1">_FV(EC27,"Beta")</f>
        <v>0.79479999999999995</v>
      </c>
      <c r="BU27" s="71" cm="1">
        <f t="array" aca="1" ref="BU27" ca="1">_FV(EC27,"Variação (%)",TRUE)</f>
        <v>5.4135000000000003E-2</v>
      </c>
      <c r="BW27" s="17" cm="1">
        <f t="array" aca="1" ref="BW27" ca="1">_FV(EC27,"Baixo")</f>
        <v>6.76</v>
      </c>
      <c r="BX27" s="17" cm="1">
        <f t="array" aca="1" ref="BX27" ca="1">_FV(EC27,"Alto")</f>
        <v>7.15</v>
      </c>
      <c r="BY27" s="24"/>
      <c r="BZ27" s="63">
        <f ca="1">SQRT(22.5*(BO27/VLOOKUP(BP27,Fundamentus!A:U,3,FALSE))*(BO27/VLOOKUP(BP27,Fundamentus!A:U,4,FALSE)))</f>
        <v>9.3160042167631101</v>
      </c>
      <c r="CB27" s="62">
        <f t="shared" ca="1" si="24"/>
        <v>0</v>
      </c>
      <c r="CC27" s="8"/>
      <c r="CD27" s="61">
        <f t="shared" si="25"/>
        <v>4.68</v>
      </c>
      <c r="CE27" s="61">
        <f t="shared" si="26"/>
        <v>7.28</v>
      </c>
      <c r="CF27" s="61">
        <f t="shared" si="27"/>
        <v>5.7966666666666651</v>
      </c>
      <c r="CG27" s="14"/>
      <c r="CH27" s="35">
        <f t="shared" si="1"/>
        <v>6.7133334620334635</v>
      </c>
      <c r="CI27" s="15">
        <f t="shared" si="28"/>
        <v>7.1449999999999818</v>
      </c>
      <c r="CJ27" s="35">
        <f t="shared" si="2"/>
        <v>7.5766665379665001</v>
      </c>
      <c r="CL27" s="14"/>
      <c r="CM27" s="17">
        <f t="shared" si="3"/>
        <v>2.7666666666666657</v>
      </c>
      <c r="CN27" s="17">
        <f t="shared" si="4"/>
        <v>3.7233333333333327</v>
      </c>
      <c r="CO27" s="17">
        <f t="shared" si="5"/>
        <v>5.3666666666666663</v>
      </c>
      <c r="CP27" s="38">
        <f t="shared" si="29"/>
        <v>6.3233333333333333</v>
      </c>
      <c r="CQ27" s="17">
        <f t="shared" si="6"/>
        <v>7.9666666666666668</v>
      </c>
      <c r="CR27" s="17">
        <f t="shared" si="7"/>
        <v>8.9233333333333338</v>
      </c>
      <c r="CS27" s="17">
        <f t="shared" si="8"/>
        <v>10.566666666666666</v>
      </c>
      <c r="CT27" s="2" cm="1">
        <f t="array" aca="1" ref="CT27" ca="1">MAX(_xlfn._xlws.FILTER(CM27:CS27,CM27:CS27&lt;BO27))</f>
        <v>6.3233333333333333</v>
      </c>
      <c r="CU27" s="2" cm="1">
        <f t="array" aca="1" ref="CU27" ca="1">MIN(_xlfn._xlws.FILTER($CM27:$CS27,$CM27:$CS27&gt;BO27))</f>
        <v>7.9666666666666668</v>
      </c>
      <c r="CV27" s="16">
        <f t="shared" ca="1" si="63"/>
        <v>0.25988402741170269</v>
      </c>
      <c r="CW27" s="20">
        <f t="shared" ca="1" si="64"/>
        <v>-0.12994201370585134</v>
      </c>
      <c r="CX27" s="20">
        <f t="shared" ca="1" si="65"/>
        <v>-8.662800913723423E-2</v>
      </c>
      <c r="CY27" s="20">
        <f t="shared" ca="1" si="66"/>
        <v>-5.1976805482340536E-2</v>
      </c>
      <c r="CZ27" s="20">
        <f t="shared" ca="1" si="67"/>
        <v>-2.8876003045744742E-2</v>
      </c>
      <c r="DA27" s="20">
        <f t="shared" ca="1" si="68"/>
        <v>-1.5287295730100159E-2</v>
      </c>
      <c r="DB27" s="20">
        <f t="shared" ca="1" si="69"/>
        <v>-7.8752735579303845E-3</v>
      </c>
      <c r="DC27" s="20">
        <f t="shared" ca="1" si="70"/>
        <v>-3.998215806333888E-3</v>
      </c>
      <c r="DD27" s="21">
        <f t="shared" ca="1" si="71"/>
        <v>3.998215806333888E-3</v>
      </c>
      <c r="DE27" s="21">
        <f t="shared" ca="1" si="72"/>
        <v>7.8752735579303845E-3</v>
      </c>
      <c r="DF27" s="21">
        <f t="shared" ca="1" si="73"/>
        <v>1.5287295730100159E-2</v>
      </c>
      <c r="DG27" s="21">
        <f t="shared" ca="1" si="74"/>
        <v>2.8876003045744742E-2</v>
      </c>
      <c r="DH27" s="21">
        <f t="shared" ca="1" si="75"/>
        <v>5.1976805482340536E-2</v>
      </c>
      <c r="DI27" s="21">
        <f t="shared" ca="1" si="76"/>
        <v>8.662800913723423E-2</v>
      </c>
      <c r="DJ27" s="21">
        <f t="shared" ca="1" si="77"/>
        <v>0.12994201370585134</v>
      </c>
      <c r="DL27" s="16" cm="1">
        <f t="array" aca="1" ref="DL27" ca="1">MAX(_xlfn._xlws.FILTER(CW27:DJ27,CW27:DJ27&lt;BU27))</f>
        <v>5.1976805482340536E-2</v>
      </c>
      <c r="DM27" s="16" cm="1">
        <f t="array" aca="1" ref="DM27" ca="1">MIN(_xlfn._xlws.FILTER(CW27:DJ27,CW27:DJ27&gt;BU27))</f>
        <v>8.662800913723423E-2</v>
      </c>
      <c r="DN27" s="2" cm="1">
        <f t="array" aca="1" ref="DN27" ca="1">_FV(EC27,"Fechamento anterior",TRUE)</f>
        <v>6.65</v>
      </c>
      <c r="DO27" s="28">
        <f t="shared" ca="1" si="15"/>
        <v>6.2293156827157664E-2</v>
      </c>
      <c r="DP27" s="15">
        <f t="shared" ca="1" si="78"/>
        <v>6.9956457564575647</v>
      </c>
      <c r="DQ27" s="15">
        <f t="shared" ca="1" si="79"/>
        <v>7.2260762607626079</v>
      </c>
      <c r="DR27" s="9"/>
      <c r="DS27" s="9"/>
      <c r="DT27" s="9"/>
      <c r="DU27" s="89">
        <v>6.7581182670696759E-3</v>
      </c>
      <c r="DV27" s="89">
        <f t="shared" ca="1" si="18"/>
        <v>3.4651203654893693E-2</v>
      </c>
      <c r="DW27" s="72">
        <f t="shared" ca="1" si="19"/>
        <v>-0.31274140598420241</v>
      </c>
      <c r="DX27" s="37"/>
      <c r="DY27" s="35">
        <f t="shared" si="39"/>
        <v>0.21583326898325916</v>
      </c>
      <c r="DZ27" s="56"/>
      <c r="EA27" s="56"/>
      <c r="EC27" s="5" t="e" vm="27">
        <v>#VALUE!</v>
      </c>
      <c r="EE27" s="10" cm="1">
        <f t="array" aca="1" ref="EE27" ca="1">_FV(EC27,"Ações em circulação",TRUE)</f>
        <v>1136271000</v>
      </c>
      <c r="EF27" s="18">
        <f>VLOOKUP(BP27,Fundamentus!A:U,5,FALSE)</f>
        <v>0.877</v>
      </c>
      <c r="EG27" s="2">
        <f t="shared" ca="1" si="20"/>
        <v>9082394196.123148</v>
      </c>
      <c r="EH27" s="17">
        <v>1210683146.3432157</v>
      </c>
      <c r="EI27" s="17">
        <f t="shared" ca="1" si="21"/>
        <v>1210683146.3432157</v>
      </c>
      <c r="EJ27" s="2"/>
      <c r="EK27" s="16">
        <f t="shared" ca="1" si="22"/>
        <v>0</v>
      </c>
      <c r="EL27" s="32" t="str">
        <f>IF(VLOOKUP(BP27,Fundamentus!A:U,3,FALSE)&lt;15,"Bom",IF(VLOOKUP(BP27,Fundamentus!A:U,3,FALSE)&gt;15,"Ruim","n/a"))</f>
        <v>Bom</v>
      </c>
      <c r="EM27" s="28" t="str">
        <f>IF(VLOOKUP(BP27,Fundamentus!A:U,4,FALSE)&lt;1,"Baixo",IF(VLOOKUP(BP27,Fundamentus!A:U,4,FALSE)&lt;1.5,"Moderado",IF(VLOOKUP(BP27,Fundamentus!A:U,4,FALSE)&gt;1.5,"Alto","n/a")))</f>
        <v>Alto</v>
      </c>
      <c r="EN27" s="17" t="str">
        <f>IF(VLOOKUP(BP27,Fundamentus!A:U,8,FALSE)&lt;0,"Risco elevado",IF(VLOOKUP(BP27,Fundamentus!A:U,8,FALSE)&lt;1,"Saudável",IF(VLOOKUP(BP27,Fundamentus!A:U,8,FALSE)&lt;3,"Estável",IF(VLOOKUP(BP27,Fundamentus!A:U,8,FALSE)&gt;3,"Alerta","n/a"))))</f>
        <v>Alerta</v>
      </c>
      <c r="EO27" s="28" t="str">
        <f t="shared" si="23"/>
        <v>Ruim</v>
      </c>
      <c r="EP27" s="17" t="str">
        <f>IF(VLOOKUP(BP27,Fundamentus!A:U,12,FALSE)&lt;2,"Subvalorizada",IF(VLOOKUP(BP27,Fundamentus!A:U,12,FALSE)&lt;6,"Muita barata",IF(VLOOKUP(BP27,Fundamentus!A:U,12,FALSE)&lt;6,"Barata",IF(VLOOKUP(BP27,Fundamentus!A:U,12,FALSE)&lt;8,"Atrativa",IF(VLOOKUP(BP27,Fundamentus!A:U,12,FALSE)&gt;8,"Supervalorizada","n/a")))))</f>
        <v>Muita barata</v>
      </c>
      <c r="EQ27" s="2"/>
      <c r="ER27" s="17" t="str">
        <f>IF(VLOOKUP(BP27,Fundamentus!A:U,17,FALSE)&lt;0.1,"Fraco retorno",IF(VLOOKUP(BP27,Fundamentus!A:U,17,FALSE)&gt;0.1,"Bom retorno","n/a"))</f>
        <v>Bom retorno</v>
      </c>
      <c r="ES27" s="17" t="str">
        <f>IF(VLOOKUP(BP27,Fundamentus!A:U,16,FALSE)&lt;0.1,"Ineficiente",IF(VLOOKUP(BP27,Fundamentus!A:U,16,FALSE)&gt;0.1,"Eficiente","n/a"))</f>
        <v>Eficiente</v>
      </c>
      <c r="ET27" s="33" t="str">
        <f>IF(VLOOKUP(BP27,Fundamentus!A:U,16,FALSE)&lt;0.1,"Oper. Ineficiente",IF(VLOOKUP(BP27,Fundamentus!A:U,16,FALSE)&gt;0.1,"Oper.Eficiente","n/a"))</f>
        <v>Oper.Eficiente</v>
      </c>
      <c r="EU27" s="34">
        <f>VLOOKUP(BP27,Fundamentus!A:U,14,FALSE)</f>
        <v>0.1333</v>
      </c>
      <c r="EV27" s="17" t="str">
        <f>IF(VLOOKUP(BP27,Fundamentus!A:U,21,FALSE)&lt;0,"Negativo",IF(VLOOKUP(BP27,Fundamentus!A:U,21,FALSE)&lt;0.05,"Fraco",IF(VLOOKUP(BP27,Fundamentus!A:U,21,FALSE)&lt;0.1,"Bom",IF(VLOOKUP(BP27,Fundamentus!A:U,21,FALSE)&gt;0.1,"Muito bom","n/a"))))</f>
        <v>Muito bom</v>
      </c>
      <c r="EX27" s="29" t="str">
        <f>IF(VLOOKUP(BP27,Fundamentus!A:U,15,FALSE)&gt;1,"Bom",IF(VLOOKUP(BP27,Fundamentus!A:U,15,FALSE)&lt;1,"Ruim","n/a"))</f>
        <v>Bom</v>
      </c>
      <c r="EY27" s="17" t="str">
        <f>IF(VLOOKUP(BP27,Fundamentus!A:U,20,FALSE)&lt;0.5,"Baixa",IF(VLOOKUP(BP27,Fundamentus!A:U,20,FALSE)&lt;1,"Moderada",IF(VLOOKUP(BP27,Fundamentus!A:U,20,FALSE)&lt;2,"Alerta",IF(VLOOKUP(BP27,Fundamentus!A:U,20,FALSE)&gt;2,"Alta","n/a"))))</f>
        <v>Moderada</v>
      </c>
    </row>
    <row r="28" spans="1:156" s="2" customFormat="1" ht="11.25" x14ac:dyDescent="0.2">
      <c r="A28" s="4">
        <v>12.3</v>
      </c>
      <c r="B28" s="4">
        <v>11.86</v>
      </c>
      <c r="C28" s="4">
        <v>13.07</v>
      </c>
      <c r="D28" s="4">
        <v>13.05</v>
      </c>
      <c r="E28" s="4">
        <v>13</v>
      </c>
      <c r="F28" s="4">
        <v>13</v>
      </c>
      <c r="G28" s="4">
        <v>13.28</v>
      </c>
      <c r="H28" s="4">
        <v>13.01</v>
      </c>
      <c r="I28" s="4">
        <v>13.6</v>
      </c>
      <c r="J28" s="4">
        <v>14.05</v>
      </c>
      <c r="K28" s="4">
        <v>14.76</v>
      </c>
      <c r="L28" s="4">
        <v>14.74</v>
      </c>
      <c r="M28" s="4">
        <v>14.37</v>
      </c>
      <c r="N28" s="4">
        <v>14.57</v>
      </c>
      <c r="O28" s="4">
        <v>15.65</v>
      </c>
      <c r="P28" s="4">
        <v>15.75</v>
      </c>
      <c r="Q28" s="4">
        <v>16.3</v>
      </c>
      <c r="R28" s="4">
        <v>15.94</v>
      </c>
      <c r="S28" s="4">
        <v>15.05</v>
      </c>
      <c r="T28" s="4">
        <v>14.97</v>
      </c>
      <c r="U28" s="4">
        <v>13.96</v>
      </c>
      <c r="V28" s="4">
        <v>13.73</v>
      </c>
      <c r="W28" s="4">
        <v>14.5</v>
      </c>
      <c r="X28" s="4">
        <v>14.31</v>
      </c>
      <c r="Y28" s="4">
        <v>14.7</v>
      </c>
      <c r="Z28" s="4">
        <v>15.19</v>
      </c>
      <c r="AA28" s="4">
        <v>14.67</v>
      </c>
      <c r="AB28" s="4">
        <v>14.57</v>
      </c>
      <c r="AC28" s="4">
        <v>14.25</v>
      </c>
      <c r="AD28" s="4">
        <v>14.31</v>
      </c>
      <c r="AE28" s="4">
        <v>14.5</v>
      </c>
      <c r="AF28" s="4">
        <v>15.1</v>
      </c>
      <c r="AG28" s="4">
        <v>14.62</v>
      </c>
      <c r="AH28" s="4">
        <v>13.5</v>
      </c>
      <c r="AI28" s="4">
        <v>13.2</v>
      </c>
      <c r="AJ28" s="4">
        <v>13.18</v>
      </c>
      <c r="AK28" s="4">
        <v>13.3</v>
      </c>
      <c r="AL28" s="4">
        <v>13.3</v>
      </c>
      <c r="AM28" s="4">
        <v>13.15</v>
      </c>
      <c r="AN28" s="4">
        <v>13.54</v>
      </c>
      <c r="AO28" s="4">
        <v>13.66</v>
      </c>
      <c r="AP28" s="4">
        <v>14.67</v>
      </c>
      <c r="AQ28" s="4">
        <v>14.36</v>
      </c>
      <c r="AR28" s="4">
        <v>14.5</v>
      </c>
      <c r="AS28" s="4">
        <v>14.45</v>
      </c>
      <c r="AT28" s="4">
        <v>15</v>
      </c>
      <c r="AU28" s="4">
        <v>16.829999999999998</v>
      </c>
      <c r="AV28" s="4">
        <v>17.13</v>
      </c>
      <c r="AW28" s="4">
        <v>17.39</v>
      </c>
      <c r="AX28" s="4">
        <v>16.86</v>
      </c>
      <c r="AY28" s="12">
        <v>17.3</v>
      </c>
      <c r="AZ28" s="12">
        <v>17.649999999999999</v>
      </c>
      <c r="BA28" s="12">
        <v>18.91</v>
      </c>
      <c r="BB28" s="15">
        <v>19.079999999999998</v>
      </c>
      <c r="BC28" s="52">
        <v>19.37</v>
      </c>
      <c r="BD28" s="52">
        <v>19.149999999999999</v>
      </c>
      <c r="BE28" s="52">
        <v>19.059999999999999</v>
      </c>
      <c r="BF28" s="52">
        <v>20.059999999999999</v>
      </c>
      <c r="BG28" s="67">
        <v>19.100000000000001</v>
      </c>
      <c r="BH28" s="52">
        <v>19.45</v>
      </c>
      <c r="BI28" s="52">
        <v>19.690000000000001</v>
      </c>
      <c r="BJ28" s="52">
        <v>22.08</v>
      </c>
      <c r="BK28" s="52">
        <v>21.89</v>
      </c>
      <c r="BL28" s="52">
        <v>21.6</v>
      </c>
      <c r="BM28" s="52">
        <v>20.36</v>
      </c>
      <c r="BN28" s="52">
        <v>20.23</v>
      </c>
      <c r="BO28" s="52" cm="1">
        <f t="array" aca="1" ref="BO28" ca="1">_FV(EC28,"Preço")</f>
        <v>20.23</v>
      </c>
      <c r="BP28" s="69" t="s">
        <v>25</v>
      </c>
      <c r="BQ28" s="36" cm="1">
        <f t="array" aca="1" ref="BQ28" ca="1">_FV(EC28,"Média de volume",TRUE)</f>
        <v>378250</v>
      </c>
      <c r="BR28" s="36">
        <v>468000</v>
      </c>
      <c r="BS28" s="36" cm="1">
        <f t="array" aca="1" ref="BS28" ca="1">_FV(EC28,"Volume")</f>
        <v>468000</v>
      </c>
      <c r="BT28" s="24" cm="1">
        <f t="array" aca="1" ref="BT28" ca="1">_FV(EC28,"Beta")</f>
        <v>1.2261</v>
      </c>
      <c r="BU28" s="71" cm="1">
        <f t="array" aca="1" ref="BU28" ca="1">_FV(EC28,"Variação (%)",TRUE)</f>
        <v>-7.8469999999999998E-3</v>
      </c>
      <c r="BW28" s="17" cm="1">
        <f t="array" aca="1" ref="BW28" ca="1">_FV(EC28,"Baixo")</f>
        <v>20.2</v>
      </c>
      <c r="BX28" s="17" cm="1">
        <f t="array" aca="1" ref="BX28" ca="1">_FV(EC28,"Alto")</f>
        <v>20.83</v>
      </c>
      <c r="BY28" s="24"/>
      <c r="BZ28" s="63">
        <f ca="1">SQRT(22.5*(BO28/VLOOKUP(BP28,Fundamentus!A:U,3,FALSE))*(BO28/VLOOKUP(BP28,Fundamentus!A:U,4,FALSE)))</f>
        <v>20.570163272051953</v>
      </c>
      <c r="CB28" s="62">
        <f t="shared" ca="1" si="24"/>
        <v>0</v>
      </c>
      <c r="CC28" s="8"/>
      <c r="CD28" s="61">
        <f t="shared" si="25"/>
        <v>11.86</v>
      </c>
      <c r="CE28" s="61">
        <f t="shared" si="26"/>
        <v>22.08</v>
      </c>
      <c r="CF28" s="61">
        <f t="shared" si="27"/>
        <v>15.662575757575757</v>
      </c>
      <c r="CG28" s="14"/>
      <c r="CH28" s="35">
        <f t="shared" si="1"/>
        <v>17.902468720313241</v>
      </c>
      <c r="CI28" s="15">
        <f t="shared" si="28"/>
        <v>19.465000000000146</v>
      </c>
      <c r="CJ28" s="35">
        <f t="shared" si="2"/>
        <v>21.02753127968705</v>
      </c>
      <c r="CL28" s="14"/>
      <c r="CM28" s="17">
        <f t="shared" si="3"/>
        <v>3.8133333333333397</v>
      </c>
      <c r="CN28" s="17">
        <f t="shared" si="4"/>
        <v>7.8366666666666696</v>
      </c>
      <c r="CO28" s="17">
        <f t="shared" si="5"/>
        <v>14.033333333333339</v>
      </c>
      <c r="CP28" s="38">
        <f t="shared" si="29"/>
        <v>18.056666666666668</v>
      </c>
      <c r="CQ28" s="17">
        <f t="shared" si="6"/>
        <v>24.253333333333337</v>
      </c>
      <c r="CR28" s="17">
        <f t="shared" si="7"/>
        <v>28.276666666666667</v>
      </c>
      <c r="CS28" s="17">
        <f t="shared" si="8"/>
        <v>34.473333333333336</v>
      </c>
      <c r="CT28" s="2" cm="1">
        <f t="array" aca="1" ref="CT28" ca="1">MAX(_xlfn._xlws.FILTER(CM28:CS28,CM28:CS28&lt;BO28))</f>
        <v>18.056666666666668</v>
      </c>
      <c r="CU28" s="2" cm="1">
        <f t="array" aca="1" ref="CU28" ca="1">MIN(_xlfn._xlws.FILTER($CM28:$CS28,$CM28:$CS28&gt;BO28))</f>
        <v>24.253333333333337</v>
      </c>
      <c r="CV28" s="16">
        <f t="shared" ca="1" si="63"/>
        <v>0.34317888129961238</v>
      </c>
      <c r="CW28" s="20">
        <f t="shared" ca="1" si="64"/>
        <v>-0.17158944064980619</v>
      </c>
      <c r="CX28" s="20">
        <f t="shared" ca="1" si="65"/>
        <v>-0.11439296043320413</v>
      </c>
      <c r="CY28" s="20">
        <f t="shared" ca="1" si="66"/>
        <v>-6.8635776259922482E-2</v>
      </c>
      <c r="CZ28" s="20">
        <f t="shared" ca="1" si="67"/>
        <v>-3.8130986811068045E-2</v>
      </c>
      <c r="DA28" s="20">
        <f t="shared" ca="1" si="68"/>
        <v>-2.0186993017624257E-2</v>
      </c>
      <c r="DB28" s="20">
        <f t="shared" ca="1" si="69"/>
        <v>-1.0399360039382194E-2</v>
      </c>
      <c r="DC28" s="20">
        <f t="shared" ca="1" si="70"/>
        <v>-5.2796750969171134E-3</v>
      </c>
      <c r="DD28" s="21">
        <f t="shared" ca="1" si="71"/>
        <v>5.2796750969171134E-3</v>
      </c>
      <c r="DE28" s="21">
        <f t="shared" ca="1" si="72"/>
        <v>1.0399360039382194E-2</v>
      </c>
      <c r="DF28" s="21">
        <f t="shared" ca="1" si="73"/>
        <v>2.0186993017624257E-2</v>
      </c>
      <c r="DG28" s="21">
        <f t="shared" ca="1" si="74"/>
        <v>3.8130986811068045E-2</v>
      </c>
      <c r="DH28" s="21">
        <f t="shared" ca="1" si="75"/>
        <v>6.8635776259922482E-2</v>
      </c>
      <c r="DI28" s="21">
        <f t="shared" ca="1" si="76"/>
        <v>0.11439296043320413</v>
      </c>
      <c r="DJ28" s="21">
        <f t="shared" ca="1" si="77"/>
        <v>0.17158944064980619</v>
      </c>
      <c r="DL28" s="16" cm="1">
        <f t="array" aca="1" ref="DL28" ca="1">MAX(_xlfn._xlws.FILTER(CW28:DJ28,CW28:DJ28&lt;BU28))</f>
        <v>-1.0399360039382194E-2</v>
      </c>
      <c r="DM28" s="16" cm="1">
        <f t="array" aca="1" ref="DM28" ca="1">MIN(_xlfn._xlws.FILTER(CW28:DJ28,CW28:DJ28&gt;BU28))</f>
        <v>-5.2796750969171134E-3</v>
      </c>
      <c r="DN28" s="2" cm="1">
        <f t="array" aca="1" ref="DN28" ca="1">_FV(EC28,"Fechamento anterior",TRUE)</f>
        <v>20.39</v>
      </c>
      <c r="DO28" s="28">
        <f t="shared" ca="1" si="15"/>
        <v>0.49854165880710816</v>
      </c>
      <c r="DP28" s="15">
        <f t="shared" ca="1" si="78"/>
        <v>20.177957048796998</v>
      </c>
      <c r="DQ28" s="15">
        <f t="shared" ca="1" si="79"/>
        <v>20.28234742477386</v>
      </c>
      <c r="DR28" s="9"/>
      <c r="DS28" s="9"/>
      <c r="DT28" s="9"/>
      <c r="DU28" s="89">
        <v>1.0249714839941282E-2</v>
      </c>
      <c r="DV28" s="89">
        <f t="shared" ca="1" si="18"/>
        <v>5.1196849424650802E-3</v>
      </c>
      <c r="DW28" s="72">
        <f t="shared" ca="1" si="19"/>
        <v>0.48959019889390204</v>
      </c>
      <c r="DX28" s="37"/>
      <c r="DY28" s="35">
        <f t="shared" si="39"/>
        <v>0.78126563984345287</v>
      </c>
      <c r="DZ28" s="56"/>
      <c r="EA28" s="56"/>
      <c r="EC28" s="2" t="e" vm="28">
        <v>#VALUE!</v>
      </c>
      <c r="EE28" s="10" cm="1">
        <f t="array" aca="1" ref="EE28" ca="1">_FV(EC28,"Ações em circulação",TRUE)</f>
        <v>85608390</v>
      </c>
      <c r="EF28" s="18">
        <f>VLOOKUP(BP28,Fundamentus!A:U,5,FALSE)</f>
        <v>1.179</v>
      </c>
      <c r="EG28" s="2">
        <f t="shared" ca="1" si="20"/>
        <v>1468920890.3307889</v>
      </c>
      <c r="EH28" s="17">
        <v>124123815.23295167</v>
      </c>
      <c r="EI28" s="17">
        <f t="shared" ca="1" si="21"/>
        <v>124123815.23295167</v>
      </c>
      <c r="EK28" s="16">
        <f t="shared" ca="1" si="22"/>
        <v>0</v>
      </c>
      <c r="EL28" s="32" t="str">
        <f>IF(VLOOKUP(BP28,Fundamentus!A:U,3,FALSE)&lt;15,"Bom",IF(VLOOKUP(BP28,Fundamentus!A:U,3,FALSE)&gt;15,"Ruim","n/a"))</f>
        <v>Bom</v>
      </c>
      <c r="EM28" s="28" t="str">
        <f>IF(VLOOKUP(BP28,Fundamentus!A:U,4,FALSE)&lt;1,"Baixo",IF(VLOOKUP(BP28,Fundamentus!A:U,4,FALSE)&lt;1.5,"Moderado",IF(VLOOKUP(BP28,Fundamentus!A:U,4,FALSE)&gt;1.5,"Alto","n/a")))</f>
        <v>Alto</v>
      </c>
      <c r="EN28" s="17" t="str">
        <f>IF(VLOOKUP(BP28,Fundamentus!A:U,8,FALSE)&lt;0,"Risco elevado",IF(VLOOKUP(BP28,Fundamentus!A:U,8,FALSE)&lt;1,"Saudável",IF(VLOOKUP(BP28,Fundamentus!A:U,8,FALSE)&lt;3,"Estável",IF(VLOOKUP(BP28,Fundamentus!A:U,8,FALSE)&gt;3,"Alerta","n/a"))))</f>
        <v>Estável</v>
      </c>
      <c r="EO28" s="28" t="str">
        <f t="shared" si="23"/>
        <v>Bom</v>
      </c>
      <c r="EP28" s="17" t="str">
        <f>IF(VLOOKUP(BP28,Fundamentus!A:U,12,FALSE)&lt;2,"Subvalorizada",IF(VLOOKUP(BP28,Fundamentus!A:U,12,FALSE)&lt;6,"Muita barata",IF(VLOOKUP(BP28,Fundamentus!A:U,12,FALSE)&lt;6,"Barata",IF(VLOOKUP(BP28,Fundamentus!A:U,12,FALSE)&lt;8,"Atrativa",IF(VLOOKUP(BP28,Fundamentus!A:U,12,FALSE)&gt;8,"Supervalorizada","n/a")))))</f>
        <v>Atrativa</v>
      </c>
      <c r="ER28" s="17" t="str">
        <f>IF(VLOOKUP(BP28,Fundamentus!A:U,17,FALSE)&lt;0.1,"Fraco retorno",IF(VLOOKUP(BP28,Fundamentus!A:U,17,FALSE)&gt;0.1,"Bom retorno","n/a"))</f>
        <v>Bom retorno</v>
      </c>
      <c r="ES28" s="17" t="str">
        <f>IF(VLOOKUP(BP28,Fundamentus!A:U,16,FALSE)&lt;0.1,"Ineficiente",IF(VLOOKUP(BP28,Fundamentus!A:U,16,FALSE)&gt;0.1,"Eficiente","n/a"))</f>
        <v>Eficiente</v>
      </c>
      <c r="ET28" s="33" t="str">
        <f>IF(VLOOKUP(BP28,Fundamentus!A:U,16,FALSE)&lt;0.1,"Oper. Ineficiente",IF(VLOOKUP(BP28,Fundamentus!A:U,16,FALSE)&gt;0.1,"Oper.Eficiente","n/a"))</f>
        <v>Oper.Eficiente</v>
      </c>
      <c r="EU28" s="34">
        <f>VLOOKUP(BP28,Fundamentus!A:U,14,FALSE)</f>
        <v>8.4500000000000006E-2</v>
      </c>
      <c r="EV28" s="17" t="str">
        <f>IF(VLOOKUP(BP28,Fundamentus!A:U,21,FALSE)&lt;0,"Negativo",IF(VLOOKUP(BP28,Fundamentus!A:U,21,FALSE)&lt;0.05,"Fraco",IF(VLOOKUP(BP28,Fundamentus!A:U,21,FALSE)&lt;0.1,"Bom",IF(VLOOKUP(BP28,Fundamentus!A:U,21,FALSE)&gt;0.1,"Muito bom","n/a"))))</f>
        <v>Muito bom</v>
      </c>
      <c r="EX28" s="29" t="str">
        <f>IF(VLOOKUP(BP28,Fundamentus!A:U,15,FALSE)&gt;1,"Bom",IF(VLOOKUP(BP28,Fundamentus!A:U,15,FALSE)&lt;1,"Ruim","n/a"))</f>
        <v>Bom</v>
      </c>
      <c r="EY28" s="17" t="str">
        <f>IF(VLOOKUP(BP28,Fundamentus!A:U,20,FALSE)&lt;0.5,"Baixa",IF(VLOOKUP(BP28,Fundamentus!A:U,20,FALSE)&lt;1,"Moderada",IF(VLOOKUP(BP28,Fundamentus!A:U,20,FALSE)&lt;2,"Alerta",IF(VLOOKUP(BP28,Fundamentus!A:U,20,FALSE)&gt;2,"Alta","n/a"))))</f>
        <v>Baixa</v>
      </c>
    </row>
    <row r="29" spans="1:156" s="2" customFormat="1" ht="11.25" x14ac:dyDescent="0.2">
      <c r="A29" s="4">
        <v>48.25</v>
      </c>
      <c r="B29" s="4">
        <v>44.8</v>
      </c>
      <c r="C29" s="4">
        <v>45</v>
      </c>
      <c r="D29" s="4">
        <v>43.86</v>
      </c>
      <c r="E29" s="4">
        <v>45.6</v>
      </c>
      <c r="F29" s="4">
        <v>44.3</v>
      </c>
      <c r="G29" s="4">
        <v>40.369999999999997</v>
      </c>
      <c r="H29" s="4">
        <v>41</v>
      </c>
      <c r="I29" s="4">
        <v>44.5</v>
      </c>
      <c r="J29" s="4">
        <v>44.62</v>
      </c>
      <c r="K29" s="4">
        <v>44.8</v>
      </c>
      <c r="L29" s="4">
        <v>43.33</v>
      </c>
      <c r="M29" s="4">
        <v>43.09</v>
      </c>
      <c r="N29" s="4">
        <v>43.5</v>
      </c>
      <c r="O29" s="4">
        <v>42.39</v>
      </c>
      <c r="P29" s="4">
        <v>42</v>
      </c>
      <c r="Q29" s="4">
        <v>44.36</v>
      </c>
      <c r="R29" s="4">
        <v>44.88</v>
      </c>
      <c r="S29" s="4">
        <v>42.93</v>
      </c>
      <c r="T29" s="4">
        <v>40.69</v>
      </c>
      <c r="U29" s="4">
        <v>40.15</v>
      </c>
      <c r="V29" s="4">
        <v>39.36</v>
      </c>
      <c r="W29" s="4">
        <v>37.32</v>
      </c>
      <c r="X29" s="4">
        <v>36</v>
      </c>
      <c r="Y29" s="4">
        <v>36.6</v>
      </c>
      <c r="Z29" s="4">
        <v>35.01</v>
      </c>
      <c r="AA29" s="4">
        <v>36</v>
      </c>
      <c r="AB29" s="4">
        <v>33</v>
      </c>
      <c r="AC29" s="4">
        <v>33.549999999999997</v>
      </c>
      <c r="AD29" s="4">
        <v>34.18</v>
      </c>
      <c r="AE29" s="4">
        <v>37</v>
      </c>
      <c r="AF29" s="4">
        <v>35.68</v>
      </c>
      <c r="AG29" s="4">
        <v>33.28</v>
      </c>
      <c r="AH29" s="4">
        <v>36.880000000000003</v>
      </c>
      <c r="AI29" s="4">
        <v>38.19</v>
      </c>
      <c r="AJ29" s="4">
        <v>38.99</v>
      </c>
      <c r="AK29" s="4">
        <v>38.19</v>
      </c>
      <c r="AL29" s="4">
        <v>37.03</v>
      </c>
      <c r="AM29" s="4">
        <v>37.9</v>
      </c>
      <c r="AN29" s="4">
        <v>41.79</v>
      </c>
      <c r="AO29" s="4">
        <v>41.89</v>
      </c>
      <c r="AP29" s="4">
        <v>41.95</v>
      </c>
      <c r="AQ29" s="4">
        <v>42.73</v>
      </c>
      <c r="AR29" s="4">
        <v>43.8</v>
      </c>
      <c r="AS29" s="4">
        <v>43.78</v>
      </c>
      <c r="AT29" s="4">
        <v>43.42</v>
      </c>
      <c r="AU29" s="4">
        <v>40.994999999999997</v>
      </c>
      <c r="AV29" s="4">
        <v>43.39</v>
      </c>
      <c r="AW29" s="4">
        <v>43.47</v>
      </c>
      <c r="AX29" s="4">
        <v>39.659999999999997</v>
      </c>
      <c r="AY29" s="12">
        <v>39.22</v>
      </c>
      <c r="AZ29" s="12">
        <v>40.97</v>
      </c>
      <c r="BA29" s="12">
        <v>43.8</v>
      </c>
      <c r="BB29" s="15">
        <v>41.32</v>
      </c>
      <c r="BC29" s="52">
        <v>42.19</v>
      </c>
      <c r="BD29" s="52">
        <v>41.6</v>
      </c>
      <c r="BE29" s="52">
        <v>43.96</v>
      </c>
      <c r="BF29" s="52">
        <v>40.89</v>
      </c>
      <c r="BG29" s="67">
        <v>42.15</v>
      </c>
      <c r="BH29" s="52">
        <v>43.2</v>
      </c>
      <c r="BI29" s="52">
        <v>42.23</v>
      </c>
      <c r="BJ29" s="52">
        <v>43.87</v>
      </c>
      <c r="BK29" s="52">
        <v>43.16</v>
      </c>
      <c r="BL29" s="52">
        <v>43.67</v>
      </c>
      <c r="BM29" s="52">
        <v>42.49</v>
      </c>
      <c r="BN29" s="52">
        <v>43.98</v>
      </c>
      <c r="BO29" s="52" cm="1">
        <f t="array" aca="1" ref="BO29" ca="1">_FV(EC29,"Preço")</f>
        <v>43.98</v>
      </c>
      <c r="BP29" s="69" t="s">
        <v>26</v>
      </c>
      <c r="BQ29" s="36" cm="1">
        <f t="array" aca="1" ref="BQ29" ca="1">_FV(EC29,"Média de volume",TRUE)</f>
        <v>1580</v>
      </c>
      <c r="BR29" s="36">
        <v>100</v>
      </c>
      <c r="BS29" s="36" cm="1">
        <f t="array" aca="1" ref="BS29" ca="1">_FV(EC29,"Volume")</f>
        <v>100</v>
      </c>
      <c r="BT29" s="24" cm="1">
        <f t="array" aca="1" ref="BT29" ca="1">_FV(EC29,"Beta")</f>
        <v>0.4521</v>
      </c>
      <c r="BU29" s="71" cm="1">
        <f t="array" aca="1" ref="BU29" ca="1">_FV(EC29,"Variação (%)",TRUE)</f>
        <v>-2.273E-4</v>
      </c>
      <c r="BW29" s="17" cm="1">
        <f t="array" aca="1" ref="BW29" ca="1">_FV(EC29,"Baixo")</f>
        <v>43.98</v>
      </c>
      <c r="BX29" s="17" cm="1">
        <f t="array" aca="1" ref="BX29" ca="1">_FV(EC29,"Alto")</f>
        <v>43.98</v>
      </c>
      <c r="BY29" s="24"/>
      <c r="BZ29" s="63">
        <f ca="1">SQRT(22.5*(BO29/VLOOKUP(BP29,Fundamentus!A:U,3,FALSE))*(BO29/VLOOKUP(BP29,Fundamentus!A:U,4,FALSE)))</f>
        <v>72.294859378845203</v>
      </c>
      <c r="CB29" s="62">
        <f t="shared" ca="1" si="24"/>
        <v>0</v>
      </c>
      <c r="CC29" s="8"/>
      <c r="CD29" s="61">
        <f t="shared" si="25"/>
        <v>33</v>
      </c>
      <c r="CE29" s="61">
        <f t="shared" si="26"/>
        <v>48.25</v>
      </c>
      <c r="CF29" s="61">
        <f t="shared" si="27"/>
        <v>41.1235606060606</v>
      </c>
      <c r="CG29" s="14"/>
      <c r="CH29" s="35">
        <f t="shared" si="1"/>
        <v>42.545865795273372</v>
      </c>
      <c r="CI29" s="15">
        <f t="shared" si="28"/>
        <v>43.644999999999982</v>
      </c>
      <c r="CJ29" s="35">
        <f t="shared" si="2"/>
        <v>44.744134204726592</v>
      </c>
      <c r="CL29" s="14"/>
      <c r="CM29" s="17">
        <f t="shared" si="3"/>
        <v>19.986666666666665</v>
      </c>
      <c r="CN29" s="17">
        <f t="shared" si="4"/>
        <v>26.493333333333332</v>
      </c>
      <c r="CO29" s="17">
        <f t="shared" si="5"/>
        <v>35.236666666666665</v>
      </c>
      <c r="CP29" s="38">
        <f t="shared" si="29"/>
        <v>41.743333333333332</v>
      </c>
      <c r="CQ29" s="17">
        <f t="shared" si="6"/>
        <v>50.486666666666665</v>
      </c>
      <c r="CR29" s="17">
        <f t="shared" si="7"/>
        <v>56.993333333333332</v>
      </c>
      <c r="CS29" s="17">
        <f t="shared" si="8"/>
        <v>65.736666666666665</v>
      </c>
      <c r="CT29" s="2" cm="1">
        <f t="array" aca="1" ref="CT29" ca="1">MAX(_xlfn._xlws.FILTER(CM29:CS29,CM29:CS29&lt;BO29))</f>
        <v>41.743333333333332</v>
      </c>
      <c r="CU29" s="2" cm="1">
        <f t="array" aca="1" ref="CU29" ca="1">MIN(_xlfn._xlws.FILTER($CM29:$CS29,$CM29:$CS29&gt;BO29))</f>
        <v>50.486666666666665</v>
      </c>
      <c r="CV29" s="16">
        <f t="shared" ca="1" si="63"/>
        <v>0.20945460352950573</v>
      </c>
      <c r="CW29" s="20">
        <f t="shared" ca="1" si="64"/>
        <v>-0.10472730176475287</v>
      </c>
      <c r="CX29" s="20">
        <f t="shared" ca="1" si="65"/>
        <v>-6.9818201176501907E-2</v>
      </c>
      <c r="CY29" s="20">
        <f t="shared" ca="1" si="66"/>
        <v>-4.1890920705901148E-2</v>
      </c>
      <c r="CZ29" s="20">
        <f t="shared" ca="1" si="67"/>
        <v>-2.3272733725500636E-2</v>
      </c>
      <c r="DA29" s="20">
        <f t="shared" ca="1" si="68"/>
        <v>-1.2320859031147395E-2</v>
      </c>
      <c r="DB29" s="20">
        <f t="shared" ca="1" si="69"/>
        <v>-6.3471091978638105E-3</v>
      </c>
      <c r="DC29" s="20">
        <f t="shared" ca="1" si="70"/>
        <v>-3.22237851583855E-3</v>
      </c>
      <c r="DD29" s="21">
        <f t="shared" ca="1" si="71"/>
        <v>3.22237851583855E-3</v>
      </c>
      <c r="DE29" s="21">
        <f t="shared" ca="1" si="72"/>
        <v>6.3471091978638105E-3</v>
      </c>
      <c r="DF29" s="21">
        <f t="shared" ca="1" si="73"/>
        <v>1.2320859031147395E-2</v>
      </c>
      <c r="DG29" s="21">
        <f t="shared" ca="1" si="74"/>
        <v>2.3272733725500636E-2</v>
      </c>
      <c r="DH29" s="21">
        <f t="shared" ca="1" si="75"/>
        <v>4.1890920705901148E-2</v>
      </c>
      <c r="DI29" s="21">
        <f t="shared" ca="1" si="76"/>
        <v>6.9818201176501907E-2</v>
      </c>
      <c r="DJ29" s="21">
        <f t="shared" ca="1" si="77"/>
        <v>0.10472730176475287</v>
      </c>
      <c r="DL29" s="16" cm="1">
        <f t="array" aca="1" ref="DL29" ca="1">MAX(_xlfn._xlws.FILTER(CW29:DJ29,CW29:DJ29&lt;BU29))</f>
        <v>-3.22237851583855E-3</v>
      </c>
      <c r="DM29" s="16" cm="1">
        <f t="array" aca="1" ref="DM29" ca="1">MIN(_xlfn._xlws.FILTER(CW29:DJ29,CW29:DJ29&gt;BU29))</f>
        <v>3.22237851583855E-3</v>
      </c>
      <c r="DN29" s="2" cm="1">
        <f t="array" aca="1" ref="DN29" ca="1">_FV(EC29,"Fechamento anterior",TRUE)</f>
        <v>43.99</v>
      </c>
      <c r="DO29" s="28">
        <f t="shared" ca="1" si="15"/>
        <v>0.46472723629610385</v>
      </c>
      <c r="DP29" s="15">
        <f t="shared" ca="1" si="78"/>
        <v>43.848247569088265</v>
      </c>
      <c r="DQ29" s="15">
        <f t="shared" ca="1" si="79"/>
        <v>44.131752430911739</v>
      </c>
      <c r="DR29" s="9"/>
      <c r="DS29" s="9"/>
      <c r="DT29" s="9"/>
      <c r="DU29" s="89">
        <v>6.3843937042784328E-3</v>
      </c>
      <c r="DV29" s="89">
        <f t="shared" ca="1" si="18"/>
        <v>6.4447570316770999E-3</v>
      </c>
      <c r="DW29" s="72">
        <f t="shared" ca="1" si="19"/>
        <v>0.30478534701168752</v>
      </c>
      <c r="DX29" s="37"/>
      <c r="DY29" s="35">
        <f t="shared" si="39"/>
        <v>0.54956710236330431</v>
      </c>
      <c r="DZ29" s="56"/>
      <c r="EA29" s="56"/>
      <c r="EC29" s="2" t="e" vm="29">
        <v>#VALUE!</v>
      </c>
      <c r="EE29" s="10" cm="1">
        <f t="array" aca="1" ref="EE29" ca="1">_FV(EC29,"Ações em circulação",TRUE)</f>
        <v>9137260</v>
      </c>
      <c r="EF29" s="18">
        <f>VLOOKUP(BP29,Fundamentus!A:U,5,FALSE)</f>
        <v>0.72599999999999998</v>
      </c>
      <c r="EG29" s="2">
        <f t="shared" ca="1" si="20"/>
        <v>553521618.18181813</v>
      </c>
      <c r="EH29" s="17">
        <v>39078626.243636355</v>
      </c>
      <c r="EI29" s="17">
        <f t="shared" ca="1" si="21"/>
        <v>39078626.243636355</v>
      </c>
      <c r="EK29" s="16">
        <f t="shared" ca="1" si="22"/>
        <v>0</v>
      </c>
      <c r="EL29" s="32" t="str">
        <f>IF(VLOOKUP(BP29,Fundamentus!A:U,3,FALSE)&lt;15,"Bom",IF(VLOOKUP(BP29,Fundamentus!A:U,3,FALSE)&gt;15,"Ruim","n/a"))</f>
        <v>Bom</v>
      </c>
      <c r="EM29" s="28" t="str">
        <f>IF(VLOOKUP(BP29,Fundamentus!A:U,4,FALSE)&lt;1,"Baixo",IF(VLOOKUP(BP29,Fundamentus!A:U,4,FALSE)&lt;1.5,"Moderado",IF(VLOOKUP(BP29,Fundamentus!A:U,4,FALSE)&gt;1.5,"Alto","n/a")))</f>
        <v>Baixo</v>
      </c>
      <c r="EN29" s="17" t="str">
        <f>IF(VLOOKUP(BP29,Fundamentus!A:U,8,FALSE)&lt;0,"Risco elevado",IF(VLOOKUP(BP29,Fundamentus!A:U,8,FALSE)&lt;1,"Saudável",IF(VLOOKUP(BP29,Fundamentus!A:U,8,FALSE)&lt;3,"Estável",IF(VLOOKUP(BP29,Fundamentus!A:U,8,FALSE)&gt;3,"Alerta","n/a"))))</f>
        <v>Estável</v>
      </c>
      <c r="EO29" s="28" t="str">
        <f t="shared" si="23"/>
        <v>Ruim</v>
      </c>
      <c r="EP29" s="17" t="str">
        <f>IF(VLOOKUP(BP29,Fundamentus!A:U,12,FALSE)&lt;2,"Subvalorizada",IF(VLOOKUP(BP29,Fundamentus!A:U,12,FALSE)&lt;6,"Muita barata",IF(VLOOKUP(BP29,Fundamentus!A:U,12,FALSE)&lt;6,"Barata",IF(VLOOKUP(BP29,Fundamentus!A:U,12,FALSE)&lt;8,"Atrativa",IF(VLOOKUP(BP29,Fundamentus!A:U,12,FALSE)&gt;8,"Supervalorizada","n/a")))))</f>
        <v>Muita barata</v>
      </c>
      <c r="ER29" s="17" t="str">
        <f>IF(VLOOKUP(BP29,Fundamentus!A:U,17,FALSE)&lt;0.1,"Fraco retorno",IF(VLOOKUP(BP29,Fundamentus!A:U,17,FALSE)&gt;0.1,"Bom retorno","n/a"))</f>
        <v>Fraco retorno</v>
      </c>
      <c r="ES29" s="17" t="str">
        <f>IF(VLOOKUP(BP29,Fundamentus!A:U,16,FALSE)&lt;0.1,"Ineficiente",IF(VLOOKUP(BP29,Fundamentus!A:U,16,FALSE)&gt;0.1,"Eficiente","n/a"))</f>
        <v>Eficiente</v>
      </c>
      <c r="ET29" s="33" t="str">
        <f>IF(VLOOKUP(BP29,Fundamentus!A:U,16,FALSE)&lt;0.1,"Oper. Ineficiente",IF(VLOOKUP(BP29,Fundamentus!A:U,16,FALSE)&gt;0.1,"Oper.Eficiente","n/a"))</f>
        <v>Oper.Eficiente</v>
      </c>
      <c r="EU29" s="34">
        <f>VLOOKUP(BP29,Fundamentus!A:U,14,FALSE)</f>
        <v>7.0599999999999996E-2</v>
      </c>
      <c r="EV29" s="17" t="str">
        <f>IF(VLOOKUP(BP29,Fundamentus!A:U,21,FALSE)&lt;0,"Negativo",IF(VLOOKUP(BP29,Fundamentus!A:U,21,FALSE)&lt;0.05,"Fraco",IF(VLOOKUP(BP29,Fundamentus!A:U,21,FALSE)&lt;0.1,"Bom",IF(VLOOKUP(BP29,Fundamentus!A:U,21,FALSE)&gt;0.1,"Muito bom","n/a"))))</f>
        <v>Fraco</v>
      </c>
      <c r="EX29" s="29" t="str">
        <f>IF(VLOOKUP(BP29,Fundamentus!A:U,15,FALSE)&gt;1,"Bom",IF(VLOOKUP(BP29,Fundamentus!A:U,15,FALSE)&lt;1,"Ruim","n/a"))</f>
        <v>Bom</v>
      </c>
      <c r="EY29" s="17" t="str">
        <f>IF(VLOOKUP(BP29,Fundamentus!A:U,20,FALSE)&lt;0.5,"Baixa",IF(VLOOKUP(BP29,Fundamentus!A:U,20,FALSE)&lt;1,"Moderada",IF(VLOOKUP(BP29,Fundamentus!A:U,20,FALSE)&lt;2,"Alerta",IF(VLOOKUP(BP29,Fundamentus!A:U,20,FALSE)&gt;2,"Alta","n/a"))))</f>
        <v>Baixa</v>
      </c>
    </row>
    <row r="30" spans="1:156" s="2" customFormat="1" ht="11.25" x14ac:dyDescent="0.2">
      <c r="A30" s="4">
        <v>10.6</v>
      </c>
      <c r="B30" s="4">
        <v>10.1</v>
      </c>
      <c r="C30" s="4">
        <v>10.02</v>
      </c>
      <c r="D30" s="4">
        <v>10.220000000000001</v>
      </c>
      <c r="E30" s="4">
        <v>10.75</v>
      </c>
      <c r="F30" s="4">
        <v>10.55</v>
      </c>
      <c r="G30" s="4">
        <v>10.45</v>
      </c>
      <c r="H30" s="4">
        <v>10.64</v>
      </c>
      <c r="I30" s="4">
        <v>10.52</v>
      </c>
      <c r="J30" s="4">
        <v>10.53</v>
      </c>
      <c r="K30" s="4">
        <v>11.26</v>
      </c>
      <c r="L30" s="4">
        <v>11.15</v>
      </c>
      <c r="M30" s="4">
        <v>11.32</v>
      </c>
      <c r="N30" s="4">
        <v>11.33</v>
      </c>
      <c r="O30" s="4">
        <v>11.95</v>
      </c>
      <c r="P30" s="4">
        <v>12.3</v>
      </c>
      <c r="Q30" s="4">
        <v>12.3</v>
      </c>
      <c r="R30" s="4">
        <v>12.68</v>
      </c>
      <c r="S30" s="4">
        <v>12.4</v>
      </c>
      <c r="T30" s="4">
        <v>12.23</v>
      </c>
      <c r="U30" s="4">
        <v>11.85</v>
      </c>
      <c r="V30" s="4">
        <v>12.56</v>
      </c>
      <c r="W30" s="4">
        <v>12.49</v>
      </c>
      <c r="X30" s="4">
        <v>12.2</v>
      </c>
      <c r="Y30" s="4">
        <v>11.96</v>
      </c>
      <c r="Z30" s="4">
        <v>12.2</v>
      </c>
      <c r="AA30" s="4">
        <v>11.93</v>
      </c>
      <c r="AB30" s="4">
        <v>11.55</v>
      </c>
      <c r="AC30" s="4">
        <v>11.59</v>
      </c>
      <c r="AD30" s="4">
        <v>11.25</v>
      </c>
      <c r="AE30" s="4">
        <v>10.61</v>
      </c>
      <c r="AF30" s="4">
        <v>9.91</v>
      </c>
      <c r="AG30" s="4">
        <v>10.43</v>
      </c>
      <c r="AH30" s="4">
        <v>10.64</v>
      </c>
      <c r="AI30" s="4">
        <v>10.66</v>
      </c>
      <c r="AJ30" s="4">
        <v>10.49</v>
      </c>
      <c r="AK30" s="4">
        <v>10.74</v>
      </c>
      <c r="AL30" s="4">
        <v>11.22</v>
      </c>
      <c r="AM30" s="4">
        <v>11.2</v>
      </c>
      <c r="AN30" s="4">
        <v>11.4</v>
      </c>
      <c r="AO30" s="4">
        <v>10.48</v>
      </c>
      <c r="AP30" s="4">
        <v>10.84</v>
      </c>
      <c r="AQ30" s="4">
        <v>10.69</v>
      </c>
      <c r="AR30" s="4">
        <v>10.3</v>
      </c>
      <c r="AS30" s="4">
        <v>10.25</v>
      </c>
      <c r="AT30" s="4">
        <v>10.3</v>
      </c>
      <c r="AU30" s="4">
        <v>10.09</v>
      </c>
      <c r="AV30" s="4">
        <v>10.45</v>
      </c>
      <c r="AW30" s="4">
        <v>9.76</v>
      </c>
      <c r="AX30" s="4">
        <v>9.5</v>
      </c>
      <c r="AY30" s="12">
        <v>9.6300000000000008</v>
      </c>
      <c r="AZ30" s="12">
        <v>9.5</v>
      </c>
      <c r="BA30" s="12">
        <v>9.5</v>
      </c>
      <c r="BB30" s="15">
        <v>9.84</v>
      </c>
      <c r="BC30" s="52">
        <v>10.1</v>
      </c>
      <c r="BD30" s="52">
        <v>9.7100000000000009</v>
      </c>
      <c r="BE30" s="52">
        <v>9.75</v>
      </c>
      <c r="BF30" s="52">
        <v>9.6</v>
      </c>
      <c r="BG30" s="67">
        <v>9.7200000000000006</v>
      </c>
      <c r="BH30" s="52">
        <v>9.58</v>
      </c>
      <c r="BI30" s="52">
        <v>10.06</v>
      </c>
      <c r="BJ30" s="52">
        <v>10.17</v>
      </c>
      <c r="BK30" s="52">
        <v>9.91</v>
      </c>
      <c r="BL30" s="52">
        <v>9.5500000000000007</v>
      </c>
      <c r="BM30" s="52">
        <v>9.42</v>
      </c>
      <c r="BN30" s="52">
        <v>9.2799999999999994</v>
      </c>
      <c r="BO30" s="52" cm="1">
        <f t="array" aca="1" ref="BO30" ca="1">_FV(EC30,"Preço")</f>
        <v>9.2799999999999994</v>
      </c>
      <c r="BP30" s="69" t="s">
        <v>27</v>
      </c>
      <c r="BQ30" s="36" cm="1">
        <f t="array" aca="1" ref="BQ30" ca="1">_FV(EC30,"Média de volume",TRUE)</f>
        <v>87500</v>
      </c>
      <c r="BR30" s="36">
        <v>19500</v>
      </c>
      <c r="BS30" s="36" cm="1">
        <f t="array" aca="1" ref="BS30" ca="1">_FV(EC30,"Volume")</f>
        <v>19500</v>
      </c>
      <c r="BT30" s="24" cm="1">
        <f t="array" aca="1" ref="BT30" ca="1">_FV(EC30,"Beta")</f>
        <v>0.14099999999999999</v>
      </c>
      <c r="BU30" s="71" cm="1">
        <f t="array" aca="1" ref="BU30" ca="1">_FV(EC30,"Variação (%)",TRUE)</f>
        <v>-2.1510000000000001E-3</v>
      </c>
      <c r="BW30" s="17" cm="1">
        <f t="array" aca="1" ref="BW30" ca="1">_FV(EC30,"Baixo")</f>
        <v>9.24</v>
      </c>
      <c r="BX30" s="17" cm="1">
        <f t="array" aca="1" ref="BX30" ca="1">_FV(EC30,"Alto")</f>
        <v>9.3800000000000008</v>
      </c>
      <c r="BY30" s="24"/>
      <c r="BZ30" s="63">
        <f ca="1">SQRT(22.5*(BO30/VLOOKUP(BP30,Fundamentus!A:U,3,FALSE))*(BO30/VLOOKUP(BP30,Fundamentus!A:U,4,FALSE)))</f>
        <v>16.364018287919478</v>
      </c>
      <c r="CB30" s="62">
        <f t="shared" ca="1" si="24"/>
        <v>0</v>
      </c>
      <c r="CC30" s="8"/>
      <c r="CD30" s="61">
        <f t="shared" si="25"/>
        <v>9.2799999999999994</v>
      </c>
      <c r="CE30" s="61">
        <f t="shared" si="26"/>
        <v>12.68</v>
      </c>
      <c r="CF30" s="61">
        <f t="shared" si="27"/>
        <v>10.72969696969697</v>
      </c>
      <c r="CG30" s="14"/>
      <c r="CH30" s="35">
        <f t="shared" si="1"/>
        <v>8.3798542146970707</v>
      </c>
      <c r="CI30" s="15">
        <f t="shared" si="28"/>
        <v>9.0349999999998545</v>
      </c>
      <c r="CJ30" s="35">
        <f t="shared" si="2"/>
        <v>9.6901457853026383</v>
      </c>
      <c r="CL30" s="14"/>
      <c r="CM30" s="17">
        <f t="shared" si="3"/>
        <v>4.7466666666666679</v>
      </c>
      <c r="CN30" s="17">
        <f t="shared" si="4"/>
        <v>7.0133333333333336</v>
      </c>
      <c r="CO30" s="17">
        <f t="shared" si="5"/>
        <v>8.1466666666666683</v>
      </c>
      <c r="CP30" s="38">
        <f t="shared" si="29"/>
        <v>10.413333333333334</v>
      </c>
      <c r="CQ30" s="17">
        <f t="shared" si="6"/>
        <v>11.546666666666669</v>
      </c>
      <c r="CR30" s="17">
        <f t="shared" si="7"/>
        <v>13.813333333333334</v>
      </c>
      <c r="CS30" s="17">
        <f t="shared" si="8"/>
        <v>14.946666666666669</v>
      </c>
      <c r="CT30" s="2" cm="1">
        <f t="array" aca="1" ref="CT30" ca="1">MAX(_xlfn._xlws.FILTER(CM30:CS30,CM30:CS30&lt;BO30))</f>
        <v>8.1466666666666683</v>
      </c>
      <c r="CU30" s="2" cm="1">
        <f t="array" aca="1" ref="CU30" ca="1">MIN(_xlfn._xlws.FILTER($CM30:$CS30,$CM30:$CS30&gt;BO30))</f>
        <v>10.413333333333334</v>
      </c>
      <c r="CV30" s="16">
        <f t="shared" ca="1" si="63"/>
        <v>0.27823240589198028</v>
      </c>
      <c r="CW30" s="20">
        <f t="shared" ca="1" si="64"/>
        <v>-0.13911620294599014</v>
      </c>
      <c r="CX30" s="20">
        <f t="shared" ca="1" si="65"/>
        <v>-9.2744135297326766E-2</v>
      </c>
      <c r="CY30" s="20">
        <f t="shared" ca="1" si="66"/>
        <v>-5.5646481178396059E-2</v>
      </c>
      <c r="CZ30" s="20">
        <f t="shared" ca="1" si="67"/>
        <v>-3.0914711765775586E-2</v>
      </c>
      <c r="DA30" s="20">
        <f t="shared" ca="1" si="68"/>
        <v>-1.6366612111292957E-2</v>
      </c>
      <c r="DB30" s="20">
        <f t="shared" ca="1" si="69"/>
        <v>-8.431285027029705E-3</v>
      </c>
      <c r="DC30" s="20">
        <f t="shared" ca="1" si="70"/>
        <v>-4.2804985521843119E-3</v>
      </c>
      <c r="DD30" s="21">
        <f t="shared" ca="1" si="71"/>
        <v>4.2804985521843119E-3</v>
      </c>
      <c r="DE30" s="21">
        <f t="shared" ca="1" si="72"/>
        <v>8.431285027029705E-3</v>
      </c>
      <c r="DF30" s="21">
        <f t="shared" ca="1" si="73"/>
        <v>1.6366612111292957E-2</v>
      </c>
      <c r="DG30" s="21">
        <f t="shared" ca="1" si="74"/>
        <v>3.0914711765775586E-2</v>
      </c>
      <c r="DH30" s="21">
        <f t="shared" ca="1" si="75"/>
        <v>5.5646481178396059E-2</v>
      </c>
      <c r="DI30" s="21">
        <f t="shared" ca="1" si="76"/>
        <v>9.2744135297326766E-2</v>
      </c>
      <c r="DJ30" s="21">
        <f t="shared" ca="1" si="77"/>
        <v>0.13911620294599014</v>
      </c>
      <c r="DL30" s="16" cm="1">
        <f t="array" aca="1" ref="DL30" ca="1">MAX(_xlfn._xlws.FILTER(CW30:DJ30,CW30:DJ30&lt;BU30))</f>
        <v>-4.2804985521843119E-3</v>
      </c>
      <c r="DM30" s="16" cm="1">
        <f t="array" aca="1" ref="DM30" ca="1">MIN(_xlfn._xlws.FILTER(CW30:DJ30,CW30:DJ30&gt;BU30))</f>
        <v>4.2804985521843119E-3</v>
      </c>
      <c r="DN30" s="2" cm="1">
        <f t="array" aca="1" ref="DN30" ca="1">_FV(EC30,"Fechamento anterior",TRUE)</f>
        <v>9.3000000000000007</v>
      </c>
      <c r="DO30" s="28">
        <f t="shared" ca="1" si="15"/>
        <v>0.24879822896898979</v>
      </c>
      <c r="DP30" s="15">
        <f t="shared" ca="1" si="78"/>
        <v>9.2601913634646866</v>
      </c>
      <c r="DQ30" s="15">
        <f t="shared" ca="1" si="79"/>
        <v>9.3398086365353148</v>
      </c>
      <c r="DR30" s="9"/>
      <c r="DS30" s="9"/>
      <c r="DT30" s="9"/>
      <c r="DU30" s="89">
        <v>3.7738983107154108E-3</v>
      </c>
      <c r="DV30" s="89">
        <f t="shared" ca="1" si="18"/>
        <v>8.5609971043686239E-3</v>
      </c>
      <c r="DW30" s="72">
        <f t="shared" ca="1" si="19"/>
        <v>0.37396256756336316</v>
      </c>
      <c r="DX30" s="37"/>
      <c r="DY30" s="35">
        <f t="shared" si="39"/>
        <v>0.3275728926513915</v>
      </c>
      <c r="DZ30" s="56"/>
      <c r="EA30" s="56"/>
      <c r="EC30" s="2" t="e" vm="30">
        <v>#VALUE!</v>
      </c>
      <c r="EE30" s="10" cm="1">
        <f t="array" aca="1" ref="EE30" ca="1">_FV(EC30,"Ações em circulação",TRUE)</f>
        <v>42275080</v>
      </c>
      <c r="EF30" s="18">
        <f>VLOOKUP(BP30,Fundamentus!A:U,5,FALSE)</f>
        <v>0.94299999999999995</v>
      </c>
      <c r="EG30" s="2">
        <f t="shared" ca="1" si="20"/>
        <v>416026237.96394485</v>
      </c>
      <c r="EH30" s="17">
        <v>73179015.257857904</v>
      </c>
      <c r="EI30" s="17">
        <f t="shared" ca="1" si="21"/>
        <v>73179015.257857904</v>
      </c>
      <c r="EK30" s="16">
        <f t="shared" ca="1" si="22"/>
        <v>0</v>
      </c>
      <c r="EL30" s="32" t="str">
        <f>IF(VLOOKUP(BP30,Fundamentus!A:U,3,FALSE)&lt;15,"Bom",IF(VLOOKUP(BP30,Fundamentus!A:U,3,FALSE)&gt;15,"Ruim","n/a"))</f>
        <v>Bom</v>
      </c>
      <c r="EM30" s="28" t="str">
        <f>IF(VLOOKUP(BP30,Fundamentus!A:U,4,FALSE)&lt;1,"Baixo",IF(VLOOKUP(BP30,Fundamentus!A:U,4,FALSE)&lt;1.5,"Moderado",IF(VLOOKUP(BP30,Fundamentus!A:U,4,FALSE)&gt;1.5,"Alto","n/a")))</f>
        <v>Moderado</v>
      </c>
      <c r="EN30" s="17" t="str">
        <f>IF(VLOOKUP(BP30,Fundamentus!A:U,8,FALSE)&lt;0,"Risco elevado",IF(VLOOKUP(BP30,Fundamentus!A:U,8,FALSE)&lt;1,"Saudável",IF(VLOOKUP(BP30,Fundamentus!A:U,8,FALSE)&lt;3,"Estável",IF(VLOOKUP(BP30,Fundamentus!A:U,8,FALSE)&gt;3,"Alerta","n/a"))))</f>
        <v>Alerta</v>
      </c>
      <c r="EO30" s="28" t="str">
        <f t="shared" si="23"/>
        <v>Ruim</v>
      </c>
      <c r="EP30" s="17" t="str">
        <f>IF(VLOOKUP(BP30,Fundamentus!A:U,12,FALSE)&lt;2,"Subvalorizada",IF(VLOOKUP(BP30,Fundamentus!A:U,12,FALSE)&lt;6,"Muita barata",IF(VLOOKUP(BP30,Fundamentus!A:U,12,FALSE)&lt;6,"Barata",IF(VLOOKUP(BP30,Fundamentus!A:U,12,FALSE)&lt;8,"Atrativa",IF(VLOOKUP(BP30,Fundamentus!A:U,12,FALSE)&gt;8,"Supervalorizada","n/a")))))</f>
        <v>Muita barata</v>
      </c>
      <c r="ER30" s="17" t="str">
        <f>IF(VLOOKUP(BP30,Fundamentus!A:U,17,FALSE)&lt;0.1,"Fraco retorno",IF(VLOOKUP(BP30,Fundamentus!A:U,17,FALSE)&gt;0.1,"Bom retorno","n/a"))</f>
        <v>Bom retorno</v>
      </c>
      <c r="ES30" s="17" t="str">
        <f>IF(VLOOKUP(BP30,Fundamentus!A:U,16,FALSE)&lt;0.1,"Ineficiente",IF(VLOOKUP(BP30,Fundamentus!A:U,16,FALSE)&gt;0.1,"Eficiente","n/a"))</f>
        <v>Eficiente</v>
      </c>
      <c r="ET30" s="33" t="str">
        <f>IF(VLOOKUP(BP30,Fundamentus!A:U,16,FALSE)&lt;0.1,"Oper. Ineficiente",IF(VLOOKUP(BP30,Fundamentus!A:U,16,FALSE)&gt;0.1,"Oper.Eficiente","n/a"))</f>
        <v>Oper.Eficiente</v>
      </c>
      <c r="EU30" s="34">
        <f>VLOOKUP(BP30,Fundamentus!A:U,14,FALSE)</f>
        <v>0.1759</v>
      </c>
      <c r="EV30" s="17" t="str">
        <f>IF(VLOOKUP(BP30,Fundamentus!A:U,21,FALSE)&lt;0,"Negativo",IF(VLOOKUP(BP30,Fundamentus!A:U,21,FALSE)&lt;0.05,"Fraco",IF(VLOOKUP(BP30,Fundamentus!A:U,21,FALSE)&lt;0.1,"Bom",IF(VLOOKUP(BP30,Fundamentus!A:U,21,FALSE)&gt;0.1,"Muito bom","n/a"))))</f>
        <v>Muito bom</v>
      </c>
      <c r="EX30" s="29" t="str">
        <f>IF(VLOOKUP(BP30,Fundamentus!A:U,15,FALSE)&gt;1,"Bom",IF(VLOOKUP(BP30,Fundamentus!A:U,15,FALSE)&lt;1,"Ruim","n/a"))</f>
        <v>Bom</v>
      </c>
      <c r="EY30" s="17" t="str">
        <f>IF(VLOOKUP(BP30,Fundamentus!A:U,20,FALSE)&lt;0.5,"Baixa",IF(VLOOKUP(BP30,Fundamentus!A:U,20,FALSE)&lt;1,"Moderada",IF(VLOOKUP(BP30,Fundamentus!A:U,20,FALSE)&lt;2,"Alerta",IF(VLOOKUP(BP30,Fundamentus!A:U,20,FALSE)&gt;2,"Alta","n/a"))))</f>
        <v>Baixa</v>
      </c>
    </row>
    <row r="31" spans="1:156" s="2" customFormat="1" ht="11.25" x14ac:dyDescent="0.2">
      <c r="A31" s="4">
        <v>19.52</v>
      </c>
      <c r="B31" s="4">
        <v>19.399999999999999</v>
      </c>
      <c r="C31" s="4">
        <v>19.38</v>
      </c>
      <c r="D31" s="4">
        <v>19.37</v>
      </c>
      <c r="E31" s="4">
        <v>18.59</v>
      </c>
      <c r="F31" s="4">
        <v>17.600000000000001</v>
      </c>
      <c r="G31" s="4">
        <v>17.55</v>
      </c>
      <c r="H31" s="4">
        <v>17.440000000000001</v>
      </c>
      <c r="I31" s="4">
        <v>17.95</v>
      </c>
      <c r="J31" s="4">
        <v>18.48</v>
      </c>
      <c r="K31" s="4">
        <v>18.489999999999998</v>
      </c>
      <c r="L31" s="4">
        <v>18.29</v>
      </c>
      <c r="M31" s="4">
        <v>17.829999999999998</v>
      </c>
      <c r="N31" s="4">
        <v>17.28</v>
      </c>
      <c r="O31" s="4">
        <v>17.38</v>
      </c>
      <c r="P31" s="4">
        <v>17.54</v>
      </c>
      <c r="Q31" s="4">
        <v>17.600000000000001</v>
      </c>
      <c r="R31" s="4">
        <v>17.899999999999999</v>
      </c>
      <c r="S31" s="4">
        <v>17.899999999999999</v>
      </c>
      <c r="T31" s="4">
        <v>17.89</v>
      </c>
      <c r="U31" s="4">
        <v>17.75</v>
      </c>
      <c r="V31" s="4">
        <v>18.89</v>
      </c>
      <c r="W31" s="4">
        <v>18.329999999999998</v>
      </c>
      <c r="X31" s="4">
        <v>18.04</v>
      </c>
      <c r="Y31" s="4">
        <v>17.62</v>
      </c>
      <c r="Z31" s="4">
        <v>17.98</v>
      </c>
      <c r="AA31" s="4">
        <v>18.100000000000001</v>
      </c>
      <c r="AB31" s="4">
        <v>18.079999999999998</v>
      </c>
      <c r="AC31" s="4">
        <v>16.66</v>
      </c>
      <c r="AD31" s="4">
        <v>16.670000000000002</v>
      </c>
      <c r="AE31" s="4">
        <v>16.91</v>
      </c>
      <c r="AF31" s="4">
        <v>16.55</v>
      </c>
      <c r="AG31" s="4">
        <v>16.64</v>
      </c>
      <c r="AH31" s="4">
        <v>16</v>
      </c>
      <c r="AI31" s="4">
        <v>15.9</v>
      </c>
      <c r="AJ31" s="4">
        <v>15.36</v>
      </c>
      <c r="AK31" s="4">
        <v>14.95</v>
      </c>
      <c r="AL31" s="4">
        <v>15.7</v>
      </c>
      <c r="AM31" s="4">
        <v>15.2</v>
      </c>
      <c r="AN31" s="4">
        <v>15.39</v>
      </c>
      <c r="AO31" s="4">
        <v>15.49</v>
      </c>
      <c r="AP31" s="4">
        <v>15.64</v>
      </c>
      <c r="AQ31" s="4">
        <v>15.86</v>
      </c>
      <c r="AR31" s="4">
        <v>15.55</v>
      </c>
      <c r="AS31" s="4">
        <v>15.5</v>
      </c>
      <c r="AT31" s="4">
        <v>15.98</v>
      </c>
      <c r="AU31" s="4">
        <v>16.605</v>
      </c>
      <c r="AV31" s="4">
        <v>17</v>
      </c>
      <c r="AW31" s="4">
        <v>15.98</v>
      </c>
      <c r="AX31" s="4">
        <v>16.52</v>
      </c>
      <c r="AY31" s="12">
        <v>16.399999999999999</v>
      </c>
      <c r="AZ31" s="12">
        <v>16.670000000000002</v>
      </c>
      <c r="BA31" s="12">
        <v>15.32</v>
      </c>
      <c r="BB31" s="15">
        <v>15.28</v>
      </c>
      <c r="BC31" s="52">
        <v>15.81</v>
      </c>
      <c r="BD31" s="52">
        <v>15.14</v>
      </c>
      <c r="BE31" s="52">
        <v>14.69</v>
      </c>
      <c r="BF31" s="52">
        <v>14.74</v>
      </c>
      <c r="BG31" s="67">
        <v>14.5</v>
      </c>
      <c r="BH31" s="52">
        <v>14.49</v>
      </c>
      <c r="BI31" s="52">
        <v>14.59</v>
      </c>
      <c r="BJ31" s="52">
        <v>15.4</v>
      </c>
      <c r="BK31" s="52">
        <v>15.4</v>
      </c>
      <c r="BL31" s="52">
        <v>14.99</v>
      </c>
      <c r="BM31" s="52">
        <v>15.05</v>
      </c>
      <c r="BN31" s="52">
        <v>14.49</v>
      </c>
      <c r="BO31" s="52" cm="1">
        <f t="array" aca="1" ref="BO31" ca="1">_FV(EC31,"Preço")</f>
        <v>14.49</v>
      </c>
      <c r="BP31" s="69" t="s">
        <v>28</v>
      </c>
      <c r="BQ31" s="36" cm="1">
        <f t="array" aca="1" ref="BQ31" ca="1">_FV(EC31,"Média de volume",TRUE)</f>
        <v>3807720</v>
      </c>
      <c r="BR31" s="36">
        <v>69500</v>
      </c>
      <c r="BS31" s="36" cm="1">
        <f t="array" aca="1" ref="BS31" ca="1">_FV(EC31,"Volume")</f>
        <v>69500</v>
      </c>
      <c r="BT31" s="24" cm="1">
        <f t="array" aca="1" ref="BT31" ca="1">_FV(EC31,"Beta")</f>
        <v>0.92410000000000003</v>
      </c>
      <c r="BU31" s="71" cm="1">
        <f t="array" aca="1" ref="BU31" ca="1">_FV(EC31,"Variação (%)",TRUE)</f>
        <v>-6.1729999999999997E-3</v>
      </c>
      <c r="BW31" s="17" cm="1">
        <f t="array" aca="1" ref="BW31" ca="1">_FV(EC31,"Baixo")</f>
        <v>14.48</v>
      </c>
      <c r="BX31" s="17" cm="1">
        <f t="array" aca="1" ref="BX31" ca="1">_FV(EC31,"Alto")</f>
        <v>15.12</v>
      </c>
      <c r="BY31" s="24"/>
      <c r="BZ31" s="63">
        <f ca="1">SQRT(22.5*(BO31/VLOOKUP(BP31,Fundamentus!A:U,3,FALSE))*(BO31/VLOOKUP(BP31,Fundamentus!A:U,4,FALSE)))</f>
        <v>36.060101564686299</v>
      </c>
      <c r="CB31" s="62">
        <f t="shared" ca="1" si="24"/>
        <v>0</v>
      </c>
      <c r="CC31" s="8"/>
      <c r="CD31" s="61">
        <f t="shared" si="25"/>
        <v>14.49</v>
      </c>
      <c r="CE31" s="61">
        <f t="shared" si="26"/>
        <v>19.52</v>
      </c>
      <c r="CF31" s="61">
        <f t="shared" si="27"/>
        <v>16.714924242424242</v>
      </c>
      <c r="CG31" s="14"/>
      <c r="CH31" s="35">
        <f t="shared" si="1"/>
        <v>13.645122399240035</v>
      </c>
      <c r="CI31" s="15">
        <f t="shared" si="28"/>
        <v>14.315000000000055</v>
      </c>
      <c r="CJ31" s="35">
        <f t="shared" si="2"/>
        <v>14.984877600760074</v>
      </c>
      <c r="CL31" s="14"/>
      <c r="CM31" s="17">
        <f t="shared" si="3"/>
        <v>7.7833333333333368</v>
      </c>
      <c r="CN31" s="17">
        <f t="shared" si="4"/>
        <v>11.136666666666668</v>
      </c>
      <c r="CO31" s="17">
        <f t="shared" si="5"/>
        <v>12.813333333333336</v>
      </c>
      <c r="CP31" s="38">
        <f t="shared" si="29"/>
        <v>16.166666666666668</v>
      </c>
      <c r="CQ31" s="17">
        <f t="shared" si="6"/>
        <v>17.843333333333334</v>
      </c>
      <c r="CR31" s="17">
        <f t="shared" si="7"/>
        <v>21.196666666666665</v>
      </c>
      <c r="CS31" s="17">
        <f t="shared" si="8"/>
        <v>22.873333333333335</v>
      </c>
      <c r="CT31" s="2" cm="1">
        <f t="array" aca="1" ref="CT31" ca="1">MAX(_xlfn._xlws.FILTER(CM31:CS31,CM31:CS31&lt;BO31))</f>
        <v>12.813333333333336</v>
      </c>
      <c r="CU31" s="2" cm="1">
        <f t="array" aca="1" ref="CU31" ca="1">MIN(_xlfn._xlws.FILTER($CM31:$CS31,$CM31:$CS31&gt;BO31))</f>
        <v>16.166666666666668</v>
      </c>
      <c r="CV31" s="16">
        <f t="shared" ca="1" si="63"/>
        <v>0.26170655567117573</v>
      </c>
      <c r="CW31" s="20">
        <f t="shared" ca="1" si="64"/>
        <v>-0.13085327783558787</v>
      </c>
      <c r="CX31" s="20">
        <f t="shared" ca="1" si="65"/>
        <v>-8.7235518557058578E-2</v>
      </c>
      <c r="CY31" s="20">
        <f t="shared" ca="1" si="66"/>
        <v>-5.2341311134235145E-2</v>
      </c>
      <c r="CZ31" s="20">
        <f t="shared" ca="1" si="67"/>
        <v>-2.9078506185686193E-2</v>
      </c>
      <c r="DA31" s="20">
        <f t="shared" ca="1" si="68"/>
        <v>-1.5394503274775043E-2</v>
      </c>
      <c r="DB31" s="20">
        <f t="shared" ca="1" si="69"/>
        <v>-7.9305016870053254E-3</v>
      </c>
      <c r="DC31" s="20">
        <f t="shared" ca="1" si="70"/>
        <v>-4.026254702633473E-3</v>
      </c>
      <c r="DD31" s="21">
        <f t="shared" ca="1" si="71"/>
        <v>4.026254702633473E-3</v>
      </c>
      <c r="DE31" s="21">
        <f t="shared" ca="1" si="72"/>
        <v>7.9305016870053254E-3</v>
      </c>
      <c r="DF31" s="21">
        <f t="shared" ca="1" si="73"/>
        <v>1.5394503274775043E-2</v>
      </c>
      <c r="DG31" s="21">
        <f t="shared" ca="1" si="74"/>
        <v>2.9078506185686193E-2</v>
      </c>
      <c r="DH31" s="21">
        <f t="shared" ca="1" si="75"/>
        <v>5.2341311134235145E-2</v>
      </c>
      <c r="DI31" s="21">
        <f t="shared" ca="1" si="76"/>
        <v>8.7235518557058578E-2</v>
      </c>
      <c r="DJ31" s="21">
        <f t="shared" ca="1" si="77"/>
        <v>0.13085327783558787</v>
      </c>
      <c r="DL31" s="16" cm="1">
        <f t="array" aca="1" ref="DL31" ca="1">MAX(_xlfn._xlws.FILTER(CW31:DJ31,CW31:DJ31&lt;BU31))</f>
        <v>-7.9305016870053254E-3</v>
      </c>
      <c r="DM31" s="16" cm="1">
        <f t="array" aca="1" ref="DM31" ca="1">MIN(_xlfn._xlws.FILTER(CW31:DJ31,CW31:DJ31&gt;BU31))</f>
        <v>-4.026254702633473E-3</v>
      </c>
      <c r="DN31" s="2" cm="1">
        <f t="array" aca="1" ref="DN31" ca="1">_FV(EC31,"Fechamento anterior",TRUE)</f>
        <v>14.58</v>
      </c>
      <c r="DO31" s="28">
        <f t="shared" ca="1" si="15"/>
        <v>0.45019236433252668</v>
      </c>
      <c r="DP31" s="15">
        <f t="shared" ca="1" si="78"/>
        <v>14.464373285403463</v>
      </c>
      <c r="DQ31" s="15">
        <f t="shared" ca="1" si="79"/>
        <v>14.521297206435603</v>
      </c>
      <c r="DR31" s="9"/>
      <c r="DS31" s="9"/>
      <c r="DT31" s="9"/>
      <c r="DU31" s="89">
        <v>6.9131838610421142E-3</v>
      </c>
      <c r="DV31" s="89">
        <f t="shared" ca="1" si="18"/>
        <v>3.9042469843718524E-3</v>
      </c>
      <c r="DW31" s="72">
        <f t="shared" ca="1" si="19"/>
        <v>0.26124175491372886</v>
      </c>
      <c r="DX31" s="37"/>
      <c r="DY31" s="35">
        <f t="shared" si="39"/>
        <v>0.33493880038000978</v>
      </c>
      <c r="DZ31" s="56"/>
      <c r="EA31" s="56"/>
      <c r="EC31" s="2" t="e" vm="31">
        <v>#VALUE!</v>
      </c>
      <c r="EE31" s="10" cm="1">
        <f t="array" aca="1" ref="EE31" ca="1">_FV(EC31,"Ações em circulação",TRUE)</f>
        <v>393096600</v>
      </c>
      <c r="EF31" s="18">
        <f>VLOOKUP(BP31,Fundamentus!A:U,5,FALSE)</f>
        <v>0</v>
      </c>
      <c r="EG31" s="2" t="e">
        <f t="shared" ca="1" si="20"/>
        <v>#DIV/0!</v>
      </c>
      <c r="EH31" s="17" t="e">
        <v>#DIV/0!</v>
      </c>
      <c r="EI31" s="17" t="e">
        <f t="shared" ca="1" si="21"/>
        <v>#DIV/0!</v>
      </c>
      <c r="EK31" s="16" t="e">
        <f t="shared" ca="1" si="22"/>
        <v>#DIV/0!</v>
      </c>
      <c r="EL31" s="32" t="str">
        <f>IF(VLOOKUP(BP31,Fundamentus!A:U,3,FALSE)&lt;15,"Bom",IF(VLOOKUP(BP31,Fundamentus!A:U,3,FALSE)&gt;15,"Ruim","n/a"))</f>
        <v>Bom</v>
      </c>
      <c r="EM31" s="28" t="str">
        <f>IF(VLOOKUP(BP31,Fundamentus!A:U,4,FALSE)&lt;1,"Baixo",IF(VLOOKUP(BP31,Fundamentus!A:U,4,FALSE)&lt;1.5,"Moderado",IF(VLOOKUP(BP31,Fundamentus!A:U,4,FALSE)&gt;1.5,"Alto","n/a")))</f>
        <v>Baixo</v>
      </c>
      <c r="EN31" s="17" t="str">
        <f>IF(VLOOKUP(BP31,Fundamentus!A:U,8,FALSE)&lt;0,"Risco elevado",IF(VLOOKUP(BP31,Fundamentus!A:U,8,FALSE)&lt;1,"Saudável",IF(VLOOKUP(BP31,Fundamentus!A:U,8,FALSE)&lt;3,"Estável",IF(VLOOKUP(BP31,Fundamentus!A:U,8,FALSE)&gt;3,"Alerta","n/a"))))</f>
        <v>Alerta</v>
      </c>
      <c r="EO31" s="28" t="str">
        <f t="shared" si="23"/>
        <v>Ruim</v>
      </c>
      <c r="EP31" s="17" t="str">
        <f>IF(VLOOKUP(BP31,Fundamentus!A:U,12,FALSE)&lt;2,"Subvalorizada",IF(VLOOKUP(BP31,Fundamentus!A:U,12,FALSE)&lt;6,"Muita barata",IF(VLOOKUP(BP31,Fundamentus!A:U,12,FALSE)&lt;6,"Barata",IF(VLOOKUP(BP31,Fundamentus!A:U,12,FALSE)&lt;8,"Atrativa",IF(VLOOKUP(BP31,Fundamentus!A:U,12,FALSE)&gt;8,"Supervalorizada","n/a")))))</f>
        <v>Subvalorizada</v>
      </c>
      <c r="ER31" s="17" t="str">
        <f>IF(VLOOKUP(BP31,Fundamentus!A:U,17,FALSE)&lt;0.1,"Fraco retorno",IF(VLOOKUP(BP31,Fundamentus!A:U,17,FALSE)&gt;0.1,"Bom retorno","n/a"))</f>
        <v>Bom retorno</v>
      </c>
      <c r="ES31" s="17" t="str">
        <f>IF(VLOOKUP(BP31,Fundamentus!A:U,16,FALSE)&lt;0.1,"Ineficiente",IF(VLOOKUP(BP31,Fundamentus!A:U,16,FALSE)&gt;0.1,"Eficiente","n/a"))</f>
        <v>Ineficiente</v>
      </c>
      <c r="ET31" s="33" t="str">
        <f>IF(VLOOKUP(BP31,Fundamentus!A:U,16,FALSE)&lt;0.1,"Oper. Ineficiente",IF(VLOOKUP(BP31,Fundamentus!A:U,16,FALSE)&gt;0.1,"Oper.Eficiente","n/a"))</f>
        <v>Oper. Ineficiente</v>
      </c>
      <c r="EU31" s="34">
        <f>VLOOKUP(BP31,Fundamentus!A:U,14,FALSE)</f>
        <v>0</v>
      </c>
      <c r="EV31" s="17" t="str">
        <f>IF(VLOOKUP(BP31,Fundamentus!A:U,21,FALSE)&lt;0,"Negativo",IF(VLOOKUP(BP31,Fundamentus!A:U,21,FALSE)&lt;0.05,"Fraco",IF(VLOOKUP(BP31,Fundamentus!A:U,21,FALSE)&lt;0.1,"Bom",IF(VLOOKUP(BP31,Fundamentus!A:U,21,FALSE)&gt;0.1,"Muito bom","n/a"))))</f>
        <v>Fraco</v>
      </c>
      <c r="EX31" s="29" t="str">
        <f>IF(VLOOKUP(BP31,Fundamentus!A:U,15,FALSE)&gt;1,"Bom",IF(VLOOKUP(BP31,Fundamentus!A:U,15,FALSE)&lt;1,"Ruim","n/a"))</f>
        <v>Bom</v>
      </c>
      <c r="EY31" s="17" t="str">
        <f>IF(VLOOKUP(BP31,Fundamentus!A:U,20,FALSE)&lt;0.5,"Baixa",IF(VLOOKUP(BP31,Fundamentus!A:U,20,FALSE)&lt;1,"Moderada",IF(VLOOKUP(BP31,Fundamentus!A:U,20,FALSE)&lt;2,"Alerta",IF(VLOOKUP(BP31,Fundamentus!A:U,20,FALSE)&gt;2,"Alta","n/a"))))</f>
        <v>Baixa</v>
      </c>
    </row>
    <row r="32" spans="1:156" s="2" customFormat="1" ht="11.25" x14ac:dyDescent="0.2">
      <c r="A32" s="4">
        <v>1.4</v>
      </c>
      <c r="B32" s="4">
        <v>1.3</v>
      </c>
      <c r="C32" s="4">
        <v>1.21</v>
      </c>
      <c r="D32" s="4">
        <v>1.29</v>
      </c>
      <c r="E32" s="4">
        <v>1.21</v>
      </c>
      <c r="F32" s="4">
        <v>1.2</v>
      </c>
      <c r="G32" s="4">
        <v>1.17</v>
      </c>
      <c r="H32" s="4">
        <v>1.19</v>
      </c>
      <c r="I32" s="4">
        <v>1.1399999999999999</v>
      </c>
      <c r="J32" s="4">
        <v>1.1499999999999999</v>
      </c>
      <c r="K32" s="4">
        <v>1.19</v>
      </c>
      <c r="L32" s="4">
        <v>1.1599999999999999</v>
      </c>
      <c r="M32" s="4">
        <v>1.17</v>
      </c>
      <c r="N32" s="4">
        <v>1.1599999999999999</v>
      </c>
      <c r="O32" s="4">
        <v>1.2</v>
      </c>
      <c r="P32" s="4">
        <v>1.1499999999999999</v>
      </c>
      <c r="Q32" s="4">
        <v>1.17</v>
      </c>
      <c r="R32" s="4">
        <v>1.19</v>
      </c>
      <c r="S32" s="4">
        <v>1.18</v>
      </c>
      <c r="T32" s="4">
        <v>1.19</v>
      </c>
      <c r="U32" s="4">
        <v>1.1599999999999999</v>
      </c>
      <c r="V32" s="4">
        <v>1.18</v>
      </c>
      <c r="W32" s="4">
        <v>1.18</v>
      </c>
      <c r="X32" s="4">
        <v>1.17</v>
      </c>
      <c r="Y32" s="4">
        <v>1.28</v>
      </c>
      <c r="Z32" s="4">
        <v>1.28</v>
      </c>
      <c r="AA32" s="4">
        <v>1.3</v>
      </c>
      <c r="AB32" s="4">
        <v>1.29</v>
      </c>
      <c r="AC32" s="4">
        <v>1.34</v>
      </c>
      <c r="AD32" s="4">
        <v>1.32</v>
      </c>
      <c r="AE32" s="4">
        <v>1.25</v>
      </c>
      <c r="AF32" s="4">
        <v>1.32</v>
      </c>
      <c r="AG32" s="4">
        <v>1.29</v>
      </c>
      <c r="AH32" s="4">
        <v>1.2</v>
      </c>
      <c r="AI32" s="4">
        <v>1.1499999999999999</v>
      </c>
      <c r="AJ32" s="4">
        <v>1.1499999999999999</v>
      </c>
      <c r="AK32" s="4">
        <v>1.1399999999999999</v>
      </c>
      <c r="AL32" s="4">
        <v>1.21</v>
      </c>
      <c r="AM32" s="4">
        <v>1.19</v>
      </c>
      <c r="AN32" s="4">
        <v>1.2</v>
      </c>
      <c r="AO32" s="4">
        <v>1.19</v>
      </c>
      <c r="AP32" s="4">
        <v>1.2</v>
      </c>
      <c r="AQ32" s="4">
        <v>1.1499999999999999</v>
      </c>
      <c r="AR32" s="4">
        <v>1.17</v>
      </c>
      <c r="AS32" s="4">
        <v>1.18</v>
      </c>
      <c r="AT32" s="4">
        <v>1.2</v>
      </c>
      <c r="AU32" s="4">
        <v>1.21</v>
      </c>
      <c r="AV32" s="4">
        <v>1.27</v>
      </c>
      <c r="AW32" s="4">
        <v>1.23</v>
      </c>
      <c r="AX32" s="4">
        <v>1.23</v>
      </c>
      <c r="AY32" s="12">
        <v>1.17</v>
      </c>
      <c r="AZ32" s="12">
        <v>1.22</v>
      </c>
      <c r="BA32" s="12">
        <v>1.22</v>
      </c>
      <c r="BB32" s="15">
        <v>1.23</v>
      </c>
      <c r="BC32" s="52">
        <v>1.24</v>
      </c>
      <c r="BD32" s="52">
        <v>1.23</v>
      </c>
      <c r="BE32" s="52">
        <v>1.24</v>
      </c>
      <c r="BF32" s="52">
        <v>1.22</v>
      </c>
      <c r="BG32" s="67">
        <v>1.23</v>
      </c>
      <c r="BH32" s="52">
        <v>1.23</v>
      </c>
      <c r="BI32" s="52">
        <v>1.21</v>
      </c>
      <c r="BJ32" s="52">
        <v>1.21</v>
      </c>
      <c r="BK32" s="52">
        <v>1.17</v>
      </c>
      <c r="BL32" s="52">
        <v>1.19</v>
      </c>
      <c r="BM32" s="52">
        <v>1.17</v>
      </c>
      <c r="BN32" s="52">
        <v>1.1599999999999999</v>
      </c>
      <c r="BO32" s="52" cm="1">
        <f t="array" aca="1" ref="BO32" ca="1">_FV(EC32,"Preço")</f>
        <v>1.1599999999999999</v>
      </c>
      <c r="BP32" s="69" t="s">
        <v>29</v>
      </c>
      <c r="BQ32" s="36" cm="1">
        <f t="array" aca="1" ref="BQ32" ca="1">_FV(EC32,"Média de volume",TRUE)</f>
        <v>15930</v>
      </c>
      <c r="BR32" s="36">
        <v>200</v>
      </c>
      <c r="BS32" s="36" cm="1">
        <f t="array" aca="1" ref="BS32" ca="1">_FV(EC32,"Volume")</f>
        <v>200</v>
      </c>
      <c r="BT32" s="24" cm="1">
        <f t="array" aca="1" ref="BT32" ca="1">_FV(EC32,"Beta")</f>
        <v>1.0255000000000001</v>
      </c>
      <c r="BU32" s="71" cm="1">
        <f t="array" aca="1" ref="BU32" ca="1">_FV(EC32,"Variação (%)",TRUE)</f>
        <v>-1.6949000000000002E-2</v>
      </c>
      <c r="BW32" s="17" cm="1">
        <f t="array" aca="1" ref="BW32" ca="1">_FV(EC32,"Baixo")</f>
        <v>1.1599999999999999</v>
      </c>
      <c r="BX32" s="17" cm="1">
        <f t="array" aca="1" ref="BX32" ca="1">_FV(EC32,"Alto")</f>
        <v>1.1599999999999999</v>
      </c>
      <c r="BY32" s="24"/>
      <c r="BZ32" s="63" t="e">
        <f ca="1">SQRT(22.5*(BO32/VLOOKUP(BP32,Fundamentus!A:U,3,FALSE))*(BO32/VLOOKUP(BP32,Fundamentus!A:U,4,FALSE)))</f>
        <v>#NUM!</v>
      </c>
      <c r="CB32" s="62">
        <f t="shared" ca="1" si="24"/>
        <v>0</v>
      </c>
      <c r="CC32" s="8"/>
      <c r="CD32" s="61">
        <f t="shared" si="25"/>
        <v>1.1399999999999999</v>
      </c>
      <c r="CE32" s="61">
        <f t="shared" si="26"/>
        <v>1.4</v>
      </c>
      <c r="CF32" s="61">
        <f t="shared" si="27"/>
        <v>1.2119696969696969</v>
      </c>
      <c r="CG32" s="14"/>
      <c r="CH32" s="35">
        <f t="shared" si="1"/>
        <v>1.1242229123599998</v>
      </c>
      <c r="CI32" s="15">
        <f t="shared" si="28"/>
        <v>1.1599999999999966</v>
      </c>
      <c r="CJ32" s="35">
        <f t="shared" si="2"/>
        <v>1.1957770876399934</v>
      </c>
      <c r="CL32" s="14"/>
      <c r="CM32" s="17">
        <f t="shared" si="3"/>
        <v>0.80666666666666687</v>
      </c>
      <c r="CN32" s="17">
        <f t="shared" si="4"/>
        <v>0.97333333333333338</v>
      </c>
      <c r="CO32" s="17">
        <f t="shared" si="5"/>
        <v>1.0666666666666669</v>
      </c>
      <c r="CP32" s="38">
        <f t="shared" si="29"/>
        <v>1.2333333333333334</v>
      </c>
      <c r="CQ32" s="17">
        <f t="shared" si="6"/>
        <v>1.3266666666666669</v>
      </c>
      <c r="CR32" s="17">
        <f t="shared" si="7"/>
        <v>1.4933333333333334</v>
      </c>
      <c r="CS32" s="17">
        <f t="shared" si="8"/>
        <v>1.5866666666666669</v>
      </c>
      <c r="CT32" s="2" cm="1">
        <f t="array" aca="1" ref="CT32" ca="1">MAX(_xlfn._xlws.FILTER(CM32:CS32,CM32:CS32&lt;BO32))</f>
        <v>1.0666666666666669</v>
      </c>
      <c r="CU32" s="2" cm="1">
        <f t="array" aca="1" ref="CU32" ca="1">MIN(_xlfn._xlws.FILTER($CM32:$CS32,$CM32:$CS32&gt;BO32))</f>
        <v>1.2333333333333334</v>
      </c>
      <c r="CV32" s="16">
        <f t="shared" ca="1" si="63"/>
        <v>0.15624999999999978</v>
      </c>
      <c r="CW32" s="20">
        <f t="shared" ca="1" si="64"/>
        <v>-7.8124999999999889E-2</v>
      </c>
      <c r="CX32" s="20">
        <f t="shared" ca="1" si="65"/>
        <v>-5.2083333333333259E-2</v>
      </c>
      <c r="CY32" s="20">
        <f t="shared" ca="1" si="66"/>
        <v>-3.1249999999999955E-2</v>
      </c>
      <c r="CZ32" s="20">
        <f t="shared" ca="1" si="67"/>
        <v>-1.7361111111111088E-2</v>
      </c>
      <c r="DA32" s="20">
        <f t="shared" ca="1" si="68"/>
        <v>-9.1911764705882217E-3</v>
      </c>
      <c r="DB32" s="20">
        <f t="shared" ca="1" si="69"/>
        <v>-4.734848484848478E-3</v>
      </c>
      <c r="DC32" s="20">
        <f t="shared" ca="1" si="70"/>
        <v>-2.4038461538461505E-3</v>
      </c>
      <c r="DD32" s="21">
        <f t="shared" ca="1" si="71"/>
        <v>2.4038461538461505E-3</v>
      </c>
      <c r="DE32" s="21">
        <f t="shared" ca="1" si="72"/>
        <v>4.734848484848478E-3</v>
      </c>
      <c r="DF32" s="21">
        <f t="shared" ca="1" si="73"/>
        <v>9.1911764705882217E-3</v>
      </c>
      <c r="DG32" s="21">
        <f t="shared" ca="1" si="74"/>
        <v>1.7361111111111088E-2</v>
      </c>
      <c r="DH32" s="21">
        <f t="shared" ca="1" si="75"/>
        <v>3.1249999999999955E-2</v>
      </c>
      <c r="DI32" s="21">
        <f t="shared" ca="1" si="76"/>
        <v>5.2083333333333259E-2</v>
      </c>
      <c r="DJ32" s="21">
        <f t="shared" ca="1" si="77"/>
        <v>7.8124999999999889E-2</v>
      </c>
      <c r="DL32" s="16" cm="1">
        <f t="array" aca="1" ref="DL32" ca="1">MAX(_xlfn._xlws.FILTER(CW32:DJ32,CW32:DJ32&lt;BU32))</f>
        <v>-1.7361111111111088E-2</v>
      </c>
      <c r="DM32" s="16" cm="1">
        <f t="array" aca="1" ref="DM32" ca="1">MIN(_xlfn._xlws.FILTER(CW32:DJ32,CW32:DJ32&gt;BU32))</f>
        <v>-9.1911764705882217E-3</v>
      </c>
      <c r="DN32" s="2" cm="1">
        <f t="array" aca="1" ref="DN32" ca="1">_FV(EC32,"Fechamento anterior",TRUE)</f>
        <v>1.18</v>
      </c>
      <c r="DO32" s="28">
        <f t="shared" ca="1" si="15"/>
        <v>5.0423728813544351E-2</v>
      </c>
      <c r="DP32" s="15">
        <f t="shared" ca="1" si="78"/>
        <v>1.159513888888889</v>
      </c>
      <c r="DQ32" s="15">
        <f t="shared" ca="1" si="79"/>
        <v>1.1691544117647059</v>
      </c>
      <c r="DR32" s="9"/>
      <c r="DS32" s="9"/>
      <c r="DT32" s="9"/>
      <c r="DU32" s="89">
        <v>7.5383936805806066E-3</v>
      </c>
      <c r="DV32" s="89">
        <f t="shared" ca="1" si="18"/>
        <v>8.1699346405228659E-3</v>
      </c>
      <c r="DW32" s="72">
        <f t="shared" ca="1" si="19"/>
        <v>9.30950307467724E-14</v>
      </c>
      <c r="DX32" s="37"/>
      <c r="DY32" s="35">
        <f t="shared" si="39"/>
        <v>1.7888543819998333E-2</v>
      </c>
      <c r="DZ32" s="56"/>
      <c r="EA32" s="56"/>
      <c r="EC32" s="2" t="e" vm="32">
        <v>#VALUE!</v>
      </c>
      <c r="EE32" s="10" cm="1">
        <f t="array" aca="1" ref="EE32" ca="1">_FV(EC32,"Ações em circulação",TRUE)</f>
        <v>11900000</v>
      </c>
      <c r="EF32" s="18">
        <f>VLOOKUP(BP32,Fundamentus!A:U,5,FALSE)</f>
        <v>0.45500000000000002</v>
      </c>
      <c r="EG32" s="2">
        <f t="shared" ca="1" si="20"/>
        <v>30338461.538461532</v>
      </c>
      <c r="EH32" s="17">
        <v>1981101.538461538</v>
      </c>
      <c r="EI32" s="17">
        <f t="shared" ca="1" si="21"/>
        <v>1981101.538461538</v>
      </c>
      <c r="EK32" s="16">
        <f t="shared" ca="1" si="22"/>
        <v>0</v>
      </c>
      <c r="EL32" s="32" t="str">
        <f>IF(VLOOKUP(BP32,Fundamentus!A:U,3,FALSE)&lt;15,"Bom",IF(VLOOKUP(BP32,Fundamentus!A:U,3,FALSE)&gt;15,"Ruim","n/a"))</f>
        <v>Bom</v>
      </c>
      <c r="EM32" s="28" t="str">
        <f>IF(VLOOKUP(BP32,Fundamentus!A:U,4,FALSE)&lt;1,"Baixo",IF(VLOOKUP(BP32,Fundamentus!A:U,4,FALSE)&lt;1.5,"Moderado",IF(VLOOKUP(BP32,Fundamentus!A:U,4,FALSE)&gt;1.5,"Alto","n/a")))</f>
        <v>Baixo</v>
      </c>
      <c r="EN32" s="17" t="str">
        <f>IF(VLOOKUP(BP32,Fundamentus!A:U,8,FALSE)&lt;0,"Risco elevado",IF(VLOOKUP(BP32,Fundamentus!A:U,8,FALSE)&lt;1,"Saudável",IF(VLOOKUP(BP32,Fundamentus!A:U,8,FALSE)&lt;3,"Estável",IF(VLOOKUP(BP32,Fundamentus!A:U,8,FALSE)&gt;3,"Alerta","n/a"))))</f>
        <v>Saudável</v>
      </c>
      <c r="EO32" s="28" t="str">
        <f t="shared" si="23"/>
        <v>Ruim</v>
      </c>
      <c r="EP32" s="17" t="str">
        <f>IF(VLOOKUP(BP32,Fundamentus!A:U,12,FALSE)&lt;2,"Subvalorizada",IF(VLOOKUP(BP32,Fundamentus!A:U,12,FALSE)&lt;6,"Muita barata",IF(VLOOKUP(BP32,Fundamentus!A:U,12,FALSE)&lt;6,"Barata",IF(VLOOKUP(BP32,Fundamentus!A:U,12,FALSE)&lt;8,"Atrativa",IF(VLOOKUP(BP32,Fundamentus!A:U,12,FALSE)&gt;8,"Supervalorizada","n/a")))))</f>
        <v>Supervalorizada</v>
      </c>
      <c r="ER32" s="17" t="str">
        <f>IF(VLOOKUP(BP32,Fundamentus!A:U,17,FALSE)&lt;0.1,"Fraco retorno",IF(VLOOKUP(BP32,Fundamentus!A:U,17,FALSE)&gt;0.1,"Bom retorno","n/a"))</f>
        <v>Fraco retorno</v>
      </c>
      <c r="ES32" s="17" t="str">
        <f>IF(VLOOKUP(BP32,Fundamentus!A:U,16,FALSE)&lt;0.1,"Ineficiente",IF(VLOOKUP(BP32,Fundamentus!A:U,16,FALSE)&gt;0.1,"Eficiente","n/a"))</f>
        <v>Ineficiente</v>
      </c>
      <c r="ET32" s="33" t="str">
        <f>IF(VLOOKUP(BP32,Fundamentus!A:U,16,FALSE)&lt;0.1,"Oper. Ineficiente",IF(VLOOKUP(BP32,Fundamentus!A:U,16,FALSE)&gt;0.1,"Oper.Eficiente","n/a"))</f>
        <v>Oper. Ineficiente</v>
      </c>
      <c r="EU32" s="34">
        <f>VLOOKUP(BP32,Fundamentus!A:U,14,FALSE)</f>
        <v>6.5299999999999997E-2</v>
      </c>
      <c r="EV32" s="17" t="str">
        <f>IF(VLOOKUP(BP32,Fundamentus!A:U,21,FALSE)&lt;0,"Negativo",IF(VLOOKUP(BP32,Fundamentus!A:U,21,FALSE)&lt;0.05,"Fraco",IF(VLOOKUP(BP32,Fundamentus!A:U,21,FALSE)&lt;0.1,"Bom",IF(VLOOKUP(BP32,Fundamentus!A:U,21,FALSE)&gt;0.1,"Muito bom","n/a"))))</f>
        <v>Negativo</v>
      </c>
      <c r="EX32" s="29" t="str">
        <f>IF(VLOOKUP(BP32,Fundamentus!A:U,15,FALSE)&gt;1,"Bom",IF(VLOOKUP(BP32,Fundamentus!A:U,15,FALSE)&lt;1,"Ruim","n/a"))</f>
        <v>Bom</v>
      </c>
      <c r="EY32" s="17" t="str">
        <f>IF(VLOOKUP(BP32,Fundamentus!A:U,20,FALSE)&lt;0.5,"Baixa",IF(VLOOKUP(BP32,Fundamentus!A:U,20,FALSE)&lt;1,"Moderada",IF(VLOOKUP(BP32,Fundamentus!A:U,20,FALSE)&lt;2,"Alerta",IF(VLOOKUP(BP32,Fundamentus!A:U,20,FALSE)&gt;2,"Alta","n/a"))))</f>
        <v>Baixa</v>
      </c>
    </row>
    <row r="33" spans="1:155" s="2" customFormat="1" ht="11.25" x14ac:dyDescent="0.2">
      <c r="A33" s="4">
        <v>14</v>
      </c>
      <c r="B33" s="4">
        <v>13.48</v>
      </c>
      <c r="C33" s="4">
        <v>13.07</v>
      </c>
      <c r="D33" s="4">
        <v>13.22</v>
      </c>
      <c r="E33" s="4">
        <v>13.11</v>
      </c>
      <c r="F33" s="4">
        <v>12.88</v>
      </c>
      <c r="G33" s="4">
        <v>12.81</v>
      </c>
      <c r="H33" s="4">
        <v>13.06</v>
      </c>
      <c r="I33" s="4">
        <v>13.05</v>
      </c>
      <c r="J33" s="4">
        <v>12.88</v>
      </c>
      <c r="K33" s="4">
        <v>13.48</v>
      </c>
      <c r="L33" s="4">
        <v>13.74</v>
      </c>
      <c r="M33" s="4">
        <v>13.39</v>
      </c>
      <c r="N33" s="4">
        <v>13.42</v>
      </c>
      <c r="O33" s="4">
        <v>13.61</v>
      </c>
      <c r="P33" s="4">
        <v>14.28</v>
      </c>
      <c r="Q33" s="4">
        <v>14.85</v>
      </c>
      <c r="R33" s="4">
        <v>14.94</v>
      </c>
      <c r="S33" s="4">
        <v>14.87</v>
      </c>
      <c r="T33" s="4">
        <v>14.67</v>
      </c>
      <c r="U33" s="4">
        <v>14.12</v>
      </c>
      <c r="V33" s="4">
        <v>13.76</v>
      </c>
      <c r="W33" s="4">
        <v>13.64</v>
      </c>
      <c r="X33" s="4">
        <v>13.65</v>
      </c>
      <c r="Y33" s="4">
        <v>13.43</v>
      </c>
      <c r="Z33" s="4">
        <v>13.63</v>
      </c>
      <c r="AA33" s="4">
        <v>12.8</v>
      </c>
      <c r="AB33" s="4">
        <v>12.65</v>
      </c>
      <c r="AC33" s="4">
        <v>12.2</v>
      </c>
      <c r="AD33" s="4">
        <v>12.43</v>
      </c>
      <c r="AE33" s="4">
        <v>11.89</v>
      </c>
      <c r="AF33" s="4">
        <v>12.05</v>
      </c>
      <c r="AG33" s="4">
        <v>11.56</v>
      </c>
      <c r="AH33" s="4">
        <v>11.29</v>
      </c>
      <c r="AI33" s="4">
        <v>11.2</v>
      </c>
      <c r="AJ33" s="4">
        <v>11.11</v>
      </c>
      <c r="AK33" s="4">
        <v>11.32</v>
      </c>
      <c r="AL33" s="4">
        <v>11.82</v>
      </c>
      <c r="AM33" s="4">
        <v>11.75</v>
      </c>
      <c r="AN33" s="4">
        <v>12.39</v>
      </c>
      <c r="AO33" s="4">
        <v>12.51</v>
      </c>
      <c r="AP33" s="4">
        <v>12.59</v>
      </c>
      <c r="AQ33" s="4">
        <v>12.52</v>
      </c>
      <c r="AR33" s="4">
        <v>11.95</v>
      </c>
      <c r="AS33" s="4">
        <v>12.25</v>
      </c>
      <c r="AT33" s="4">
        <v>12.5</v>
      </c>
      <c r="AU33" s="4">
        <v>12.654999999999999</v>
      </c>
      <c r="AV33" s="4">
        <v>13.02</v>
      </c>
      <c r="AW33" s="4">
        <v>12.49</v>
      </c>
      <c r="AX33" s="4">
        <v>12.47</v>
      </c>
      <c r="AY33" s="12">
        <v>12.8</v>
      </c>
      <c r="AZ33" s="12">
        <v>13.26</v>
      </c>
      <c r="BA33" s="12">
        <v>14.09</v>
      </c>
      <c r="BB33" s="15">
        <v>14.2</v>
      </c>
      <c r="BC33" s="52">
        <v>14.47</v>
      </c>
      <c r="BD33" s="52">
        <v>14.22</v>
      </c>
      <c r="BE33" s="52">
        <v>14.07</v>
      </c>
      <c r="BF33" s="52">
        <v>13.55</v>
      </c>
      <c r="BG33" s="67">
        <v>14.13</v>
      </c>
      <c r="BH33" s="52">
        <v>13.99</v>
      </c>
      <c r="BI33" s="52">
        <v>13.79</v>
      </c>
      <c r="BJ33" s="52">
        <v>13.92</v>
      </c>
      <c r="BK33" s="52">
        <v>13.3</v>
      </c>
      <c r="BL33" s="52">
        <v>12.5</v>
      </c>
      <c r="BM33" s="52">
        <v>12.52</v>
      </c>
      <c r="BN33" s="52">
        <v>12.31</v>
      </c>
      <c r="BO33" s="52" cm="1">
        <f t="array" aca="1" ref="BO33" ca="1">_FV(EC33,"Preço")</f>
        <v>12.31</v>
      </c>
      <c r="BP33" s="69" t="s">
        <v>30</v>
      </c>
      <c r="BQ33" s="36" cm="1">
        <f t="array" aca="1" ref="BQ33" ca="1">_FV(EC33,"Média de volume",TRUE)</f>
        <v>62790</v>
      </c>
      <c r="BR33" s="36">
        <v>59400</v>
      </c>
      <c r="BS33" s="36" cm="1">
        <f t="array" aca="1" ref="BS33" ca="1">_FV(EC33,"Volume")</f>
        <v>59400</v>
      </c>
      <c r="BT33" s="24" cm="1">
        <f t="array" aca="1" ref="BT33" ca="1">_FV(EC33,"Beta")</f>
        <v>1.1026</v>
      </c>
      <c r="BU33" s="71" cm="1">
        <f t="array" aca="1" ref="BU33" ca="1">_FV(EC33,"Variação (%)",TRUE)</f>
        <v>-1.9124000000000002E-2</v>
      </c>
      <c r="BW33" s="17" cm="1">
        <f t="array" aca="1" ref="BW33" ca="1">_FV(EC33,"Baixo")</f>
        <v>12.22</v>
      </c>
      <c r="BX33" s="17" cm="1">
        <f t="array" aca="1" ref="BX33" ca="1">_FV(EC33,"Alto")</f>
        <v>12.72</v>
      </c>
      <c r="BY33" s="24"/>
      <c r="BZ33" s="63">
        <f ca="1">SQRT(22.5*(BO33/VLOOKUP(BP33,Fundamentus!A:U,3,FALSE))*(BO33/VLOOKUP(BP33,Fundamentus!A:U,4,FALSE)))</f>
        <v>21.788463814332374</v>
      </c>
      <c r="CB33" s="62">
        <f t="shared" ca="1" si="24"/>
        <v>0</v>
      </c>
      <c r="CC33" s="8"/>
      <c r="CD33" s="61">
        <f t="shared" si="25"/>
        <v>11.11</v>
      </c>
      <c r="CE33" s="61">
        <f t="shared" si="26"/>
        <v>14.94</v>
      </c>
      <c r="CF33" s="61">
        <f t="shared" si="27"/>
        <v>13.084469696969697</v>
      </c>
      <c r="CG33" s="14"/>
      <c r="CH33" s="35">
        <f t="shared" si="1"/>
        <v>10.702658634564724</v>
      </c>
      <c r="CI33" s="15">
        <f t="shared" si="28"/>
        <v>11.920000000000073</v>
      </c>
      <c r="CJ33" s="35">
        <f t="shared" si="2"/>
        <v>13.137341365435422</v>
      </c>
      <c r="CL33" s="14"/>
      <c r="CM33" s="17">
        <f t="shared" si="3"/>
        <v>6.8033333333333346</v>
      </c>
      <c r="CN33" s="17">
        <f t="shared" si="4"/>
        <v>8.956666666666667</v>
      </c>
      <c r="CO33" s="17">
        <f t="shared" si="5"/>
        <v>10.633333333333335</v>
      </c>
      <c r="CP33" s="38">
        <f t="shared" si="29"/>
        <v>12.786666666666667</v>
      </c>
      <c r="CQ33" s="17">
        <f t="shared" si="6"/>
        <v>14.463333333333335</v>
      </c>
      <c r="CR33" s="17">
        <f t="shared" si="7"/>
        <v>16.616666666666667</v>
      </c>
      <c r="CS33" s="17">
        <f t="shared" si="8"/>
        <v>18.293333333333337</v>
      </c>
      <c r="CT33" s="2" cm="1">
        <f t="array" aca="1" ref="CT33" ca="1">MAX(_xlfn._xlws.FILTER(CM33:CS33,CM33:CS33&lt;BO33))</f>
        <v>10.633333333333335</v>
      </c>
      <c r="CU33" s="2" cm="1">
        <f t="array" aca="1" ref="CU33" ca="1">MIN(_xlfn._xlws.FILTER($CM33:$CS33,$CM33:$CS33&gt;BO33))</f>
        <v>12.786666666666667</v>
      </c>
      <c r="CV33" s="16">
        <f t="shared" ca="1" si="63"/>
        <v>0.20250783699059549</v>
      </c>
      <c r="CW33" s="20">
        <f t="shared" ca="1" si="64"/>
        <v>-0.10125391849529775</v>
      </c>
      <c r="CX33" s="20">
        <f t="shared" ca="1" si="65"/>
        <v>-6.7502612330198497E-2</v>
      </c>
      <c r="CY33" s="20">
        <f t="shared" ca="1" si="66"/>
        <v>-4.0501567398119095E-2</v>
      </c>
      <c r="CZ33" s="20">
        <f t="shared" ca="1" si="67"/>
        <v>-2.2500870776732834E-2</v>
      </c>
      <c r="DA33" s="20">
        <f t="shared" ca="1" si="68"/>
        <v>-1.1912225705329146E-2</v>
      </c>
      <c r="DB33" s="20">
        <f t="shared" ca="1" si="69"/>
        <v>-6.1366011209271357E-3</v>
      </c>
      <c r="DC33" s="20">
        <f t="shared" ca="1" si="70"/>
        <v>-3.1155051844706998E-3</v>
      </c>
      <c r="DD33" s="21">
        <f t="shared" ca="1" si="71"/>
        <v>3.1155051844706998E-3</v>
      </c>
      <c r="DE33" s="21">
        <f t="shared" ca="1" si="72"/>
        <v>6.1366011209271357E-3</v>
      </c>
      <c r="DF33" s="21">
        <f t="shared" ca="1" si="73"/>
        <v>1.1912225705329146E-2</v>
      </c>
      <c r="DG33" s="21">
        <f t="shared" ca="1" si="74"/>
        <v>2.2500870776732834E-2</v>
      </c>
      <c r="DH33" s="21">
        <f t="shared" ca="1" si="75"/>
        <v>4.0501567398119095E-2</v>
      </c>
      <c r="DI33" s="21">
        <f t="shared" ca="1" si="76"/>
        <v>6.7502612330198497E-2</v>
      </c>
      <c r="DJ33" s="21">
        <f t="shared" ca="1" si="77"/>
        <v>0.10125391849529775</v>
      </c>
      <c r="DL33" s="16" cm="1">
        <f t="array" aca="1" ref="DL33" ca="1">MAX(_xlfn._xlws.FILTER(CW33:DJ33,CW33:DJ33&lt;BU33))</f>
        <v>-2.2500870776732834E-2</v>
      </c>
      <c r="DM33" s="16" cm="1">
        <f t="array" aca="1" ref="DM33" ca="1">MIN(_xlfn._xlws.FILTER(CW33:DJ33,CW33:DJ33&gt;BU33))</f>
        <v>-1.1912225705329146E-2</v>
      </c>
      <c r="DN33" s="2" cm="1">
        <f t="array" aca="1" ref="DN33" ca="1">_FV(EC33,"Fechamento anterior",TRUE)</f>
        <v>12.55</v>
      </c>
      <c r="DO33" s="28">
        <f t="shared" ca="1" si="15"/>
        <v>0.31896099811281048</v>
      </c>
      <c r="DP33" s="15">
        <f t="shared" ca="1" si="78"/>
        <v>12.267614071752003</v>
      </c>
      <c r="DQ33" s="15">
        <f t="shared" ca="1" si="79"/>
        <v>12.40050156739812</v>
      </c>
      <c r="DR33" s="9"/>
      <c r="DS33" s="9"/>
      <c r="DT33" s="9"/>
      <c r="DU33" s="89">
        <v>2.8977218568296626E-3</v>
      </c>
      <c r="DV33" s="89">
        <f t="shared" ca="1" si="18"/>
        <v>1.0588645071403687E-2</v>
      </c>
      <c r="DW33" s="72">
        <f t="shared" ca="1" si="19"/>
        <v>0.32037028484648172</v>
      </c>
      <c r="DX33" s="37"/>
      <c r="DY33" s="35">
        <f t="shared" si="39"/>
        <v>0.60867068271767455</v>
      </c>
      <c r="DZ33" s="56"/>
      <c r="EA33" s="56"/>
      <c r="EC33" s="2" t="e" vm="33">
        <v>#VALUE!</v>
      </c>
      <c r="EE33" s="10" cm="1">
        <f t="array" aca="1" ref="EE33" ca="1">_FV(EC33,"Ações em circulação",TRUE)</f>
        <v>3749266000</v>
      </c>
      <c r="EF33" s="18">
        <f>VLOOKUP(BP33,Fundamentus!A:U,5,FALSE)</f>
        <v>0</v>
      </c>
      <c r="EG33" s="2" t="e">
        <f t="shared" ca="1" si="20"/>
        <v>#DIV/0!</v>
      </c>
      <c r="EH33" s="17" t="e">
        <v>#DIV/0!</v>
      </c>
      <c r="EI33" s="17" t="e">
        <f t="shared" ca="1" si="21"/>
        <v>#DIV/0!</v>
      </c>
      <c r="EK33" s="16" t="e">
        <f t="shared" ca="1" si="22"/>
        <v>#DIV/0!</v>
      </c>
      <c r="EL33" s="32" t="str">
        <f>IF(VLOOKUP(BP33,Fundamentus!A:U,3,FALSE)&lt;15,"Bom",IF(VLOOKUP(BP33,Fundamentus!A:U,3,FALSE)&gt;15,"Ruim","n/a"))</f>
        <v>Bom</v>
      </c>
      <c r="EM33" s="28" t="str">
        <f>IF(VLOOKUP(BP33,Fundamentus!A:U,4,FALSE)&lt;1,"Baixo",IF(VLOOKUP(BP33,Fundamentus!A:U,4,FALSE)&lt;1.5,"Moderado",IF(VLOOKUP(BP33,Fundamentus!A:U,4,FALSE)&gt;1.5,"Alto","n/a")))</f>
        <v>Moderado</v>
      </c>
      <c r="EN33" s="17" t="str">
        <f>IF(VLOOKUP(BP33,Fundamentus!A:U,8,FALSE)&lt;0,"Risco elevado",IF(VLOOKUP(BP33,Fundamentus!A:U,8,FALSE)&lt;1,"Saudável",IF(VLOOKUP(BP33,Fundamentus!A:U,8,FALSE)&lt;3,"Estável",IF(VLOOKUP(BP33,Fundamentus!A:U,8,FALSE)&gt;3,"Alerta","n/a"))))</f>
        <v>Saudável</v>
      </c>
      <c r="EO33" s="28" t="str">
        <f t="shared" si="23"/>
        <v>Ruim</v>
      </c>
      <c r="EP33" s="17" t="str">
        <f>IF(VLOOKUP(BP33,Fundamentus!A:U,12,FALSE)&lt;2,"Subvalorizada",IF(VLOOKUP(BP33,Fundamentus!A:U,12,FALSE)&lt;6,"Muita barata",IF(VLOOKUP(BP33,Fundamentus!A:U,12,FALSE)&lt;6,"Barata",IF(VLOOKUP(BP33,Fundamentus!A:U,12,FALSE)&lt;8,"Atrativa",IF(VLOOKUP(BP33,Fundamentus!A:U,12,FALSE)&gt;8,"Supervalorizada","n/a")))))</f>
        <v>Subvalorizada</v>
      </c>
      <c r="ER33" s="17" t="str">
        <f>IF(VLOOKUP(BP33,Fundamentus!A:U,17,FALSE)&lt;0.1,"Fraco retorno",IF(VLOOKUP(BP33,Fundamentus!A:U,17,FALSE)&gt;0.1,"Bom retorno","n/a"))</f>
        <v>Bom retorno</v>
      </c>
      <c r="ES33" s="17" t="str">
        <f>IF(VLOOKUP(BP33,Fundamentus!A:U,16,FALSE)&lt;0.1,"Ineficiente",IF(VLOOKUP(BP33,Fundamentus!A:U,16,FALSE)&gt;0.1,"Eficiente","n/a"))</f>
        <v>Ineficiente</v>
      </c>
      <c r="ET33" s="33" t="str">
        <f>IF(VLOOKUP(BP33,Fundamentus!A:U,16,FALSE)&lt;0.1,"Oper. Ineficiente",IF(VLOOKUP(BP33,Fundamentus!A:U,16,FALSE)&gt;0.1,"Oper.Eficiente","n/a"))</f>
        <v>Oper. Ineficiente</v>
      </c>
      <c r="EU33" s="34">
        <f>VLOOKUP(BP33,Fundamentus!A:U,14,FALSE)</f>
        <v>0</v>
      </c>
      <c r="EV33" s="17" t="str">
        <f>IF(VLOOKUP(BP33,Fundamentus!A:U,21,FALSE)&lt;0,"Negativo",IF(VLOOKUP(BP33,Fundamentus!A:U,21,FALSE)&lt;0.05,"Fraco",IF(VLOOKUP(BP33,Fundamentus!A:U,21,FALSE)&lt;0.1,"Bom",IF(VLOOKUP(BP33,Fundamentus!A:U,21,FALSE)&gt;0.1,"Muito bom","n/a"))))</f>
        <v>Negativo</v>
      </c>
      <c r="EX33" s="29" t="str">
        <f>IF(VLOOKUP(BP33,Fundamentus!A:U,15,FALSE)&gt;1,"Bom",IF(VLOOKUP(BP33,Fundamentus!A:U,15,FALSE)&lt;1,"Ruim","n/a"))</f>
        <v>Ruim</v>
      </c>
      <c r="EY33" s="17" t="str">
        <f>IF(VLOOKUP(BP33,Fundamentus!A:U,20,FALSE)&lt;0.5,"Baixa",IF(VLOOKUP(BP33,Fundamentus!A:U,20,FALSE)&lt;1,"Moderada",IF(VLOOKUP(BP33,Fundamentus!A:U,20,FALSE)&lt;2,"Alerta",IF(VLOOKUP(BP33,Fundamentus!A:U,20,FALSE)&gt;2,"Alta","n/a"))))</f>
        <v>Baixa</v>
      </c>
    </row>
    <row r="34" spans="1:155" s="5" customFormat="1" ht="11.25" x14ac:dyDescent="0.2">
      <c r="A34" s="4">
        <v>18.41</v>
      </c>
      <c r="B34" s="4">
        <v>18.5</v>
      </c>
      <c r="C34" s="4">
        <v>18.8</v>
      </c>
      <c r="D34" s="4">
        <v>19.04</v>
      </c>
      <c r="E34" s="4">
        <v>18.38</v>
      </c>
      <c r="F34" s="4">
        <v>18.16</v>
      </c>
      <c r="G34" s="4">
        <v>18.670000000000002</v>
      </c>
      <c r="H34" s="4">
        <v>17.989999999999998</v>
      </c>
      <c r="I34" s="4">
        <v>18.61</v>
      </c>
      <c r="J34" s="4">
        <v>19.5</v>
      </c>
      <c r="K34" s="4">
        <v>19.97</v>
      </c>
      <c r="L34" s="4">
        <v>20.18</v>
      </c>
      <c r="M34" s="4">
        <v>19.399999999999999</v>
      </c>
      <c r="N34" s="4">
        <v>19.7</v>
      </c>
      <c r="O34" s="4">
        <v>18.8</v>
      </c>
      <c r="P34" s="4">
        <v>18.63</v>
      </c>
      <c r="Q34" s="4">
        <v>18.8</v>
      </c>
      <c r="R34" s="4">
        <v>19.25</v>
      </c>
      <c r="S34" s="4">
        <v>18.149999999999999</v>
      </c>
      <c r="T34" s="4">
        <v>18.100000000000001</v>
      </c>
      <c r="U34" s="4">
        <v>17.739999999999998</v>
      </c>
      <c r="V34" s="4">
        <v>18.100000000000001</v>
      </c>
      <c r="W34" s="4">
        <v>17.3</v>
      </c>
      <c r="X34" s="4">
        <v>16.98</v>
      </c>
      <c r="Y34" s="4">
        <v>16.8</v>
      </c>
      <c r="Z34" s="4">
        <v>17.100000000000001</v>
      </c>
      <c r="AA34" s="4">
        <v>17.23</v>
      </c>
      <c r="AB34" s="4">
        <v>15.93</v>
      </c>
      <c r="AC34" s="4">
        <v>15.9</v>
      </c>
      <c r="AD34" s="4">
        <v>15.62</v>
      </c>
      <c r="AE34" s="4">
        <v>15.97</v>
      </c>
      <c r="AF34" s="4">
        <v>15.03</v>
      </c>
      <c r="AG34" s="4">
        <v>14.4</v>
      </c>
      <c r="AH34" s="4">
        <v>14.85</v>
      </c>
      <c r="AI34" s="4">
        <v>15.41</v>
      </c>
      <c r="AJ34" s="4">
        <v>15.08</v>
      </c>
      <c r="AK34" s="4">
        <v>15.6</v>
      </c>
      <c r="AL34" s="4">
        <v>16.28</v>
      </c>
      <c r="AM34" s="4">
        <v>16.18</v>
      </c>
      <c r="AN34" s="4">
        <v>16</v>
      </c>
      <c r="AO34" s="4">
        <v>16.149999999999999</v>
      </c>
      <c r="AP34" s="4">
        <v>17.11</v>
      </c>
      <c r="AQ34" s="4">
        <v>16.940000000000001</v>
      </c>
      <c r="AR34" s="4">
        <v>16.75</v>
      </c>
      <c r="AS34" s="4">
        <v>16.27</v>
      </c>
      <c r="AT34" s="4">
        <v>16.399999999999999</v>
      </c>
      <c r="AU34" s="4">
        <v>16.504999999999999</v>
      </c>
      <c r="AV34" s="4">
        <v>16.73</v>
      </c>
      <c r="AW34" s="4">
        <v>16.75</v>
      </c>
      <c r="AX34" s="4">
        <v>16.690000000000001</v>
      </c>
      <c r="AY34" s="12">
        <v>16.45</v>
      </c>
      <c r="AZ34" s="12">
        <v>16.46</v>
      </c>
      <c r="BA34" s="12">
        <v>17.170000000000002</v>
      </c>
      <c r="BB34" s="15">
        <v>17.329999999999998</v>
      </c>
      <c r="BC34" s="52">
        <v>18.02</v>
      </c>
      <c r="BD34" s="52">
        <v>17.97</v>
      </c>
      <c r="BE34" s="52">
        <v>18.100000000000001</v>
      </c>
      <c r="BF34" s="52">
        <v>18.190000000000001</v>
      </c>
      <c r="BG34" s="67">
        <v>17.850000000000001</v>
      </c>
      <c r="BH34" s="52">
        <v>18.239999999999998</v>
      </c>
      <c r="BI34" s="52">
        <v>18.34</v>
      </c>
      <c r="BJ34" s="52">
        <v>18.579999999999998</v>
      </c>
      <c r="BK34" s="52">
        <v>18.39</v>
      </c>
      <c r="BL34" s="52">
        <v>17.5</v>
      </c>
      <c r="BM34" s="52">
        <v>17.399999999999999</v>
      </c>
      <c r="BN34" s="52">
        <v>18.100000000000001</v>
      </c>
      <c r="BO34" s="52" cm="1">
        <f t="array" aca="1" ref="BO34" ca="1">_FV(EC34,"Preço")</f>
        <v>18.100000000000001</v>
      </c>
      <c r="BP34" s="69" t="s">
        <v>31</v>
      </c>
      <c r="BQ34" s="36" cm="1">
        <f t="array" aca="1" ref="BQ34" ca="1">_FV(EC34,"Média de volume",TRUE)</f>
        <v>27810</v>
      </c>
      <c r="BR34" s="36">
        <v>50500</v>
      </c>
      <c r="BS34" s="36" cm="1">
        <f t="array" aca="1" ref="BS34" ca="1">_FV(EC34,"Volume")</f>
        <v>50500</v>
      </c>
      <c r="BT34" s="24" cm="1">
        <f t="array" aca="1" ref="BT34" ca="1">_FV(EC34,"Beta")</f>
        <v>0.9738</v>
      </c>
      <c r="BU34" s="71" cm="1">
        <f t="array" aca="1" ref="BU34" ca="1">_FV(EC34,"Variação (%)",TRUE)</f>
        <v>2.3177E-2</v>
      </c>
      <c r="BW34" s="17" cm="1">
        <f t="array" aca="1" ref="BW34" ca="1">_FV(EC34,"Baixo")</f>
        <v>17.66</v>
      </c>
      <c r="BX34" s="17" cm="1">
        <f t="array" aca="1" ref="BX34" ca="1">_FV(EC34,"Alto")</f>
        <v>18.239999999999998</v>
      </c>
      <c r="BY34" s="24"/>
      <c r="BZ34" s="63">
        <f ca="1">SQRT(22.5*(BO34/VLOOKUP(BP34,Fundamentus!A:U,3,FALSE))*(BO34/VLOOKUP(BP34,Fundamentus!A:U,4,FALSE)))</f>
        <v>25.098896789280808</v>
      </c>
      <c r="CB34" s="62">
        <f t="shared" ca="1" si="24"/>
        <v>0</v>
      </c>
      <c r="CC34" s="8"/>
      <c r="CD34" s="61">
        <f t="shared" si="25"/>
        <v>14.4</v>
      </c>
      <c r="CE34" s="61">
        <f t="shared" si="26"/>
        <v>20.18</v>
      </c>
      <c r="CF34" s="61">
        <f t="shared" si="27"/>
        <v>17.438257575757579</v>
      </c>
      <c r="CG34" s="14"/>
      <c r="CH34" s="35">
        <f t="shared" si="1"/>
        <v>16.663375871167286</v>
      </c>
      <c r="CI34" s="15">
        <f t="shared" si="28"/>
        <v>17.605000000000018</v>
      </c>
      <c r="CJ34" s="35">
        <f t="shared" si="2"/>
        <v>18.54662412883275</v>
      </c>
      <c r="CL34" s="14"/>
      <c r="CM34" s="17">
        <f t="shared" si="3"/>
        <v>9.1599999999999984</v>
      </c>
      <c r="CN34" s="17">
        <f t="shared" si="4"/>
        <v>11.78</v>
      </c>
      <c r="CO34" s="17">
        <f t="shared" si="5"/>
        <v>14.939999999999998</v>
      </c>
      <c r="CP34" s="38">
        <f t="shared" si="29"/>
        <v>17.559999999999999</v>
      </c>
      <c r="CQ34" s="17">
        <f t="shared" si="6"/>
        <v>20.72</v>
      </c>
      <c r="CR34" s="17">
        <f t="shared" si="7"/>
        <v>23.339999999999996</v>
      </c>
      <c r="CS34" s="17">
        <f t="shared" si="8"/>
        <v>26.499999999999996</v>
      </c>
      <c r="CT34" s="2" cm="1">
        <f t="array" aca="1" ref="CT34" ca="1">MAX(_xlfn._xlws.FILTER(CM34:CS34,CM34:CS34&lt;BO34))</f>
        <v>17.559999999999999</v>
      </c>
      <c r="CU34" s="2" cm="1">
        <f t="array" aca="1" ref="CU34" ca="1">MIN(_xlfn._xlws.FILTER($CM34:$CS34,$CM34:$CS34&gt;BO34))</f>
        <v>20.72</v>
      </c>
      <c r="CV34" s="16">
        <f t="shared" ca="1" si="63"/>
        <v>0.17995444191343957</v>
      </c>
      <c r="CW34" s="20">
        <f t="shared" ca="1" si="64"/>
        <v>-8.9977220956719783E-2</v>
      </c>
      <c r="CX34" s="20">
        <f t="shared" ca="1" si="65"/>
        <v>-5.9984813971146522E-2</v>
      </c>
      <c r="CY34" s="20">
        <f t="shared" ca="1" si="66"/>
        <v>-3.5990888382687915E-2</v>
      </c>
      <c r="CZ34" s="20">
        <f t="shared" ca="1" si="67"/>
        <v>-1.9994937990382173E-2</v>
      </c>
      <c r="DA34" s="20">
        <f t="shared" ca="1" si="68"/>
        <v>-1.0585555406672916E-2</v>
      </c>
      <c r="DB34" s="20">
        <f t="shared" ca="1" si="69"/>
        <v>-5.453164906467866E-3</v>
      </c>
      <c r="DC34" s="20">
        <f t="shared" ca="1" si="70"/>
        <v>-2.7685298755913781E-3</v>
      </c>
      <c r="DD34" s="21">
        <f t="shared" ca="1" si="71"/>
        <v>2.7685298755913781E-3</v>
      </c>
      <c r="DE34" s="21">
        <f t="shared" ca="1" si="72"/>
        <v>5.453164906467866E-3</v>
      </c>
      <c r="DF34" s="21">
        <f t="shared" ca="1" si="73"/>
        <v>1.0585555406672916E-2</v>
      </c>
      <c r="DG34" s="21">
        <f t="shared" ca="1" si="74"/>
        <v>1.9994937990382173E-2</v>
      </c>
      <c r="DH34" s="21">
        <f t="shared" ca="1" si="75"/>
        <v>3.5990888382687915E-2</v>
      </c>
      <c r="DI34" s="21">
        <f t="shared" ca="1" si="76"/>
        <v>5.9984813971146522E-2</v>
      </c>
      <c r="DJ34" s="21">
        <f t="shared" ca="1" si="77"/>
        <v>8.9977220956719783E-2</v>
      </c>
      <c r="DL34" s="16" cm="1">
        <f t="array" aca="1" ref="DL34" ca="1">MAX(_xlfn._xlws.FILTER(CW34:DJ34,CW34:DJ34&lt;BU34))</f>
        <v>1.9994937990382173E-2</v>
      </c>
      <c r="DM34" s="16" cm="1">
        <f t="array" aca="1" ref="DM34" ca="1">MIN(_xlfn._xlws.FILTER(CW34:DJ34,CW34:DJ34&gt;BU34))</f>
        <v>3.5990888382687915E-2</v>
      </c>
      <c r="DN34" s="2" cm="1">
        <f t="array" aca="1" ref="DN34" ca="1">_FV(EC34,"Fechamento anterior",TRUE)</f>
        <v>17.690000000000001</v>
      </c>
      <c r="DO34" s="28">
        <f t="shared" ca="1" si="15"/>
        <v>0.19892523130425094</v>
      </c>
      <c r="DP34" s="15">
        <f t="shared" ca="1" si="78"/>
        <v>18.043710453049862</v>
      </c>
      <c r="DQ34" s="15">
        <f t="shared" ca="1" si="79"/>
        <v>18.32667881548975</v>
      </c>
      <c r="DR34" s="9"/>
      <c r="DS34" s="9"/>
      <c r="DT34" s="9"/>
      <c r="DU34" s="89">
        <v>5.2463665366891182E-3</v>
      </c>
      <c r="DV34" s="89">
        <f t="shared" ca="1" si="18"/>
        <v>1.5995950392305742E-2</v>
      </c>
      <c r="DW34" s="72">
        <f t="shared" ca="1" si="19"/>
        <v>0.52568746365240382</v>
      </c>
      <c r="DX34" s="37"/>
      <c r="DY34" s="35">
        <f t="shared" si="39"/>
        <v>0.47081206441636569</v>
      </c>
      <c r="DZ34" s="56"/>
      <c r="EA34" s="56"/>
      <c r="EC34" s="5" t="e" vm="34">
        <v>#VALUE!</v>
      </c>
      <c r="EE34" s="10" cm="1">
        <f t="array" aca="1" ref="EE34" ca="1">_FV(EC34,"Ações em circulação",TRUE)</f>
        <v>41800000</v>
      </c>
      <c r="EF34" s="18">
        <f>VLOOKUP(BP34,Fundamentus!A:U,5,FALSE)</f>
        <v>1.256</v>
      </c>
      <c r="EG34" s="2">
        <f t="shared" ca="1" si="20"/>
        <v>602372611.4649682</v>
      </c>
      <c r="EH34" s="17">
        <v>95054398.089171976</v>
      </c>
      <c r="EI34" s="17">
        <f t="shared" ca="1" si="21"/>
        <v>95054398.089171976</v>
      </c>
      <c r="EJ34" s="2"/>
      <c r="EK34" s="16">
        <f t="shared" ca="1" si="22"/>
        <v>0</v>
      </c>
      <c r="EL34" s="32" t="str">
        <f>IF(VLOOKUP(BP34,Fundamentus!A:U,3,FALSE)&lt;15,"Bom",IF(VLOOKUP(BP34,Fundamentus!A:U,3,FALSE)&gt;15,"Ruim","n/a"))</f>
        <v>Bom</v>
      </c>
      <c r="EM34" s="28" t="str">
        <f>IF(VLOOKUP(BP34,Fundamentus!A:U,4,FALSE)&lt;1,"Baixo",IF(VLOOKUP(BP34,Fundamentus!A:U,4,FALSE)&lt;1.5,"Moderado",IF(VLOOKUP(BP34,Fundamentus!A:U,4,FALSE)&gt;1.5,"Alto","n/a")))</f>
        <v>Moderado</v>
      </c>
      <c r="EN34" s="17" t="str">
        <f>IF(VLOOKUP(BP34,Fundamentus!A:U,8,FALSE)&lt;0,"Risco elevado",IF(VLOOKUP(BP34,Fundamentus!A:U,8,FALSE)&lt;1,"Saudável",IF(VLOOKUP(BP34,Fundamentus!A:U,8,FALSE)&lt;3,"Estável",IF(VLOOKUP(BP34,Fundamentus!A:U,8,FALSE)&gt;3,"Alerta","n/a"))))</f>
        <v>Alerta</v>
      </c>
      <c r="EO34" s="28" t="str">
        <f t="shared" si="23"/>
        <v>Bom</v>
      </c>
      <c r="EP34" s="17" t="str">
        <f>IF(VLOOKUP(BP34,Fundamentus!A:U,12,FALSE)&lt;2,"Subvalorizada",IF(VLOOKUP(BP34,Fundamentus!A:U,12,FALSE)&lt;6,"Muita barata",IF(VLOOKUP(BP34,Fundamentus!A:U,12,FALSE)&lt;6,"Barata",IF(VLOOKUP(BP34,Fundamentus!A:U,12,FALSE)&lt;8,"Atrativa",IF(VLOOKUP(BP34,Fundamentus!A:U,12,FALSE)&gt;8,"Supervalorizada","n/a")))))</f>
        <v>Muita barata</v>
      </c>
      <c r="EQ34" s="2"/>
      <c r="ER34" s="17" t="str">
        <f>IF(VLOOKUP(BP34,Fundamentus!A:U,17,FALSE)&lt;0.1,"Fraco retorno",IF(VLOOKUP(BP34,Fundamentus!A:U,17,FALSE)&gt;0.1,"Bom retorno","n/a"))</f>
        <v>Bom retorno</v>
      </c>
      <c r="ES34" s="17" t="str">
        <f>IF(VLOOKUP(BP34,Fundamentus!A:U,16,FALSE)&lt;0.1,"Ineficiente",IF(VLOOKUP(BP34,Fundamentus!A:U,16,FALSE)&gt;0.1,"Eficiente","n/a"))</f>
        <v>Eficiente</v>
      </c>
      <c r="ET34" s="33" t="str">
        <f>IF(VLOOKUP(BP34,Fundamentus!A:U,16,FALSE)&lt;0.1,"Oper. Ineficiente",IF(VLOOKUP(BP34,Fundamentus!A:U,16,FALSE)&gt;0.1,"Oper.Eficiente","n/a"))</f>
        <v>Oper.Eficiente</v>
      </c>
      <c r="EU34" s="34">
        <f>VLOOKUP(BP34,Fundamentus!A:U,14,FALSE)</f>
        <v>0.1578</v>
      </c>
      <c r="EV34" s="17" t="str">
        <f>IF(VLOOKUP(BP34,Fundamentus!A:U,21,FALSE)&lt;0,"Negativo",IF(VLOOKUP(BP34,Fundamentus!A:U,21,FALSE)&lt;0.05,"Fraco",IF(VLOOKUP(BP34,Fundamentus!A:U,21,FALSE)&lt;0.1,"Bom",IF(VLOOKUP(BP34,Fundamentus!A:U,21,FALSE)&gt;0.1,"Muito bom","n/a"))))</f>
        <v>Fraco</v>
      </c>
      <c r="EX34" s="29" t="str">
        <f>IF(VLOOKUP(BP34,Fundamentus!A:U,15,FALSE)&gt;1,"Bom",IF(VLOOKUP(BP34,Fundamentus!A:U,15,FALSE)&lt;1,"Ruim","n/a"))</f>
        <v>Bom</v>
      </c>
      <c r="EY34" s="17" t="str">
        <f>IF(VLOOKUP(BP34,Fundamentus!A:U,20,FALSE)&lt;0.5,"Baixa",IF(VLOOKUP(BP34,Fundamentus!A:U,20,FALSE)&lt;1,"Moderada",IF(VLOOKUP(BP34,Fundamentus!A:U,20,FALSE)&lt;2,"Alerta",IF(VLOOKUP(BP34,Fundamentus!A:U,20,FALSE)&gt;2,"Alta","n/a"))))</f>
        <v>Baixa</v>
      </c>
    </row>
    <row r="35" spans="1:155" s="2" customFormat="1" ht="11.25" x14ac:dyDescent="0.2">
      <c r="A35" s="4">
        <v>10.53</v>
      </c>
      <c r="B35" s="4">
        <v>11.09</v>
      </c>
      <c r="C35" s="4">
        <v>10.89</v>
      </c>
      <c r="D35" s="4">
        <v>10.47</v>
      </c>
      <c r="E35" s="4">
        <v>10.28</v>
      </c>
      <c r="F35" s="4">
        <v>10.23</v>
      </c>
      <c r="G35" s="4">
        <v>9.99</v>
      </c>
      <c r="H35" s="4">
        <v>9.64</v>
      </c>
      <c r="I35" s="4">
        <v>10.61</v>
      </c>
      <c r="J35" s="4">
        <v>11.8</v>
      </c>
      <c r="K35" s="4">
        <v>11.9</v>
      </c>
      <c r="L35" s="4">
        <v>11.29</v>
      </c>
      <c r="M35" s="4">
        <v>11.29</v>
      </c>
      <c r="N35" s="4">
        <v>10.37</v>
      </c>
      <c r="O35" s="4">
        <v>11.62</v>
      </c>
      <c r="P35" s="4">
        <v>11.68</v>
      </c>
      <c r="Q35" s="4">
        <v>13.73</v>
      </c>
      <c r="R35" s="4">
        <v>13.97</v>
      </c>
      <c r="S35" s="4">
        <v>14.16</v>
      </c>
      <c r="T35" s="4">
        <v>14.24</v>
      </c>
      <c r="U35" s="4">
        <v>13.17</v>
      </c>
      <c r="V35" s="4">
        <v>13.76</v>
      </c>
      <c r="W35" s="4">
        <v>13.05</v>
      </c>
      <c r="X35" s="4">
        <v>13.1</v>
      </c>
      <c r="Y35" s="4">
        <v>14.1</v>
      </c>
      <c r="Z35" s="4">
        <v>14.18</v>
      </c>
      <c r="AA35" s="4">
        <v>14.75</v>
      </c>
      <c r="AB35" s="4">
        <v>15.23</v>
      </c>
      <c r="AC35" s="4">
        <v>14.92</v>
      </c>
      <c r="AD35" s="4">
        <v>14.7</v>
      </c>
      <c r="AE35" s="4">
        <v>13.39</v>
      </c>
      <c r="AF35" s="4">
        <v>13.67</v>
      </c>
      <c r="AG35" s="4">
        <v>13.66</v>
      </c>
      <c r="AH35" s="4">
        <v>13.6</v>
      </c>
      <c r="AI35" s="4">
        <v>12.68</v>
      </c>
      <c r="AJ35" s="4">
        <v>12.9</v>
      </c>
      <c r="AK35" s="4">
        <v>12.66</v>
      </c>
      <c r="AL35" s="4">
        <v>11.86</v>
      </c>
      <c r="AM35" s="4">
        <v>12.48</v>
      </c>
      <c r="AN35" s="4">
        <v>12.97</v>
      </c>
      <c r="AO35" s="4">
        <v>12.05</v>
      </c>
      <c r="AP35" s="4">
        <v>12.75</v>
      </c>
      <c r="AQ35" s="4">
        <v>11.96</v>
      </c>
      <c r="AR35" s="4">
        <v>12.42</v>
      </c>
      <c r="AS35" s="4">
        <v>12.6</v>
      </c>
      <c r="AT35" s="4">
        <v>11.69</v>
      </c>
      <c r="AU35" s="4">
        <v>13.42</v>
      </c>
      <c r="AV35" s="4">
        <v>13.2</v>
      </c>
      <c r="AW35" s="4">
        <v>13.4</v>
      </c>
      <c r="AX35" s="4">
        <v>12.85</v>
      </c>
      <c r="AY35" s="12">
        <v>12.66</v>
      </c>
      <c r="AZ35" s="12">
        <v>12.79</v>
      </c>
      <c r="BA35" s="12">
        <v>12.91</v>
      </c>
      <c r="BB35" s="15">
        <v>12.92</v>
      </c>
      <c r="BC35" s="52">
        <v>13.9</v>
      </c>
      <c r="BD35" s="52">
        <v>14.33</v>
      </c>
      <c r="BE35" s="52">
        <v>14</v>
      </c>
      <c r="BF35" s="52">
        <v>13.9</v>
      </c>
      <c r="BG35" s="67">
        <v>13.7</v>
      </c>
      <c r="BH35" s="52">
        <v>13.67</v>
      </c>
      <c r="BI35" s="52">
        <v>13.43</v>
      </c>
      <c r="BJ35" s="52">
        <v>12.84</v>
      </c>
      <c r="BK35" s="52">
        <v>13.01</v>
      </c>
      <c r="BL35" s="52">
        <v>12.18</v>
      </c>
      <c r="BM35" s="52">
        <v>12.24</v>
      </c>
      <c r="BN35" s="52">
        <v>12.3</v>
      </c>
      <c r="BO35" s="52" cm="1">
        <f t="array" aca="1" ref="BO35" ca="1">_FV(EC35,"Preço")</f>
        <v>12.3</v>
      </c>
      <c r="BP35" s="69" t="s">
        <v>187</v>
      </c>
      <c r="BQ35" s="36" cm="1">
        <f t="array" aca="1" ref="BQ35" ca="1">_FV(EC35,"Média de volume",TRUE)</f>
        <v>249670</v>
      </c>
      <c r="BR35" s="36">
        <v>233300</v>
      </c>
      <c r="BS35" s="36" cm="1">
        <f t="array" aca="1" ref="BS35" ca="1">_FV(EC35,"Volume")</f>
        <v>233300</v>
      </c>
      <c r="BT35" s="24" cm="1">
        <f t="array" aca="1" ref="BT35" ca="1">_FV(EC35,"Beta")</f>
        <v>1.0190999999999999</v>
      </c>
      <c r="BU35" s="71" cm="1">
        <f t="array" aca="1" ref="BU35" ca="1">_FV(EC35,"Variação (%)",TRUE)</f>
        <v>-4.0489999999999996E-3</v>
      </c>
      <c r="BW35" s="17" cm="1">
        <f t="array" aca="1" ref="BW35" ca="1">_FV(EC35,"Baixo")</f>
        <v>12.3</v>
      </c>
      <c r="BX35" s="17" cm="1">
        <f t="array" aca="1" ref="BX35" ca="1">_FV(EC35,"Alto")</f>
        <v>12.66</v>
      </c>
      <c r="BY35" s="24"/>
      <c r="BZ35" s="63">
        <f ca="1">SQRT(22.5*(BO35/VLOOKUP(BP35,Fundamentus!A:U,3,FALSE))*(BO35/VLOOKUP(BP35,Fundamentus!A:U,4,FALSE)))</f>
        <v>20.138873396545694</v>
      </c>
      <c r="CB35" s="62">
        <f t="shared" ca="1" si="24"/>
        <v>0</v>
      </c>
      <c r="CC35" s="8"/>
      <c r="CD35" s="61">
        <f t="shared" si="25"/>
        <v>9.64</v>
      </c>
      <c r="CE35" s="61">
        <f t="shared" si="26"/>
        <v>15.23</v>
      </c>
      <c r="CF35" s="61">
        <f t="shared" si="27"/>
        <v>12.692878787878788</v>
      </c>
      <c r="CG35" s="14"/>
      <c r="CH35" s="35">
        <f t="shared" si="1"/>
        <v>11.231058482032235</v>
      </c>
      <c r="CI35" s="15">
        <f t="shared" si="28"/>
        <v>11.914999999999964</v>
      </c>
      <c r="CJ35" s="35">
        <f t="shared" si="2"/>
        <v>12.598941517967692</v>
      </c>
      <c r="CL35" s="14"/>
      <c r="CM35" s="17">
        <f t="shared" si="3"/>
        <v>3.9600000000000009</v>
      </c>
      <c r="CN35" s="17">
        <f t="shared" si="4"/>
        <v>6.8000000000000007</v>
      </c>
      <c r="CO35" s="17">
        <f t="shared" si="5"/>
        <v>9.5500000000000007</v>
      </c>
      <c r="CP35" s="38">
        <f t="shared" si="29"/>
        <v>12.39</v>
      </c>
      <c r="CQ35" s="17">
        <f t="shared" si="6"/>
        <v>15.14</v>
      </c>
      <c r="CR35" s="17">
        <f t="shared" si="7"/>
        <v>17.98</v>
      </c>
      <c r="CS35" s="17">
        <f t="shared" si="8"/>
        <v>20.73</v>
      </c>
      <c r="CT35" s="2" cm="1">
        <f t="array" aca="1" ref="CT35" ca="1">MAX(_xlfn._xlws.FILTER(CM35:CS35,CM35:CS35&lt;BO35))</f>
        <v>9.5500000000000007</v>
      </c>
      <c r="CU35" s="2" cm="1">
        <f t="array" aca="1" ref="CU35" ca="1">MIN(_xlfn._xlws.FILTER($CM35:$CS35,$CM35:$CS35&gt;BO35))</f>
        <v>12.39</v>
      </c>
      <c r="CV35" s="16">
        <f t="shared" ca="1" si="63"/>
        <v>0.29738219895287954</v>
      </c>
      <c r="CW35" s="20">
        <f t="shared" ca="1" si="64"/>
        <v>-0.14869109947643977</v>
      </c>
      <c r="CX35" s="20">
        <f t="shared" ca="1" si="65"/>
        <v>-9.9127399650959847E-2</v>
      </c>
      <c r="CY35" s="20">
        <f t="shared" ca="1" si="66"/>
        <v>-5.9476439790575909E-2</v>
      </c>
      <c r="CZ35" s="20">
        <f t="shared" ca="1" si="67"/>
        <v>-3.3042466550319949E-2</v>
      </c>
      <c r="DA35" s="20">
        <f t="shared" ca="1" si="68"/>
        <v>-1.7493070526639974E-2</v>
      </c>
      <c r="DB35" s="20">
        <f t="shared" ca="1" si="69"/>
        <v>-9.0115817864508951E-3</v>
      </c>
      <c r="DC35" s="20">
        <f t="shared" ca="1" si="70"/>
        <v>-4.5751107531212237E-3</v>
      </c>
      <c r="DD35" s="21">
        <f t="shared" ca="1" si="71"/>
        <v>4.5751107531212237E-3</v>
      </c>
      <c r="DE35" s="21">
        <f t="shared" ca="1" si="72"/>
        <v>9.0115817864508951E-3</v>
      </c>
      <c r="DF35" s="21">
        <f t="shared" ca="1" si="73"/>
        <v>1.7493070526639974E-2</v>
      </c>
      <c r="DG35" s="21">
        <f t="shared" ca="1" si="74"/>
        <v>3.3042466550319949E-2</v>
      </c>
      <c r="DH35" s="21">
        <f t="shared" ca="1" si="75"/>
        <v>5.9476439790575909E-2</v>
      </c>
      <c r="DI35" s="21">
        <f t="shared" ca="1" si="76"/>
        <v>9.9127399650959847E-2</v>
      </c>
      <c r="DJ35" s="21">
        <f t="shared" ca="1" si="77"/>
        <v>0.14869109947643977</v>
      </c>
      <c r="DL35" s="16" cm="1">
        <f t="array" aca="1" ref="DL35" ca="1">MAX(_xlfn._xlws.FILTER(CW35:DJ35,CW35:DJ35&lt;BU35))</f>
        <v>-4.5751107531212237E-3</v>
      </c>
      <c r="DM35" s="16" cm="1">
        <f t="array" aca="1" ref="DM35" ca="1">MIN(_xlfn._xlws.FILTER(CW35:DJ35,CW35:DJ35&gt;BU35))</f>
        <v>4.5751107531212237E-3</v>
      </c>
      <c r="DN35" s="2" cm="1">
        <f t="array" aca="1" ref="DN35" ca="1">_FV(EC35,"Fechamento anterior",TRUE)</f>
        <v>12.35</v>
      </c>
      <c r="DO35" s="28">
        <f t="shared" ca="1" si="15"/>
        <v>5.7542624166062935E-2</v>
      </c>
      <c r="DP35" s="15">
        <f t="shared" ca="1" si="78"/>
        <v>12.293497382198952</v>
      </c>
      <c r="DQ35" s="15">
        <f t="shared" ca="1" si="79"/>
        <v>12.406502617801047</v>
      </c>
      <c r="DR35" s="9"/>
      <c r="DS35" s="9"/>
      <c r="DT35" s="9"/>
      <c r="DU35" s="89">
        <v>8.6736047975876588E-3</v>
      </c>
      <c r="DV35" s="89">
        <f t="shared" ca="1" si="18"/>
        <v>9.1502215062424473E-3</v>
      </c>
      <c r="DW35" s="72">
        <f t="shared" ca="1" si="19"/>
        <v>0.56291362621767804</v>
      </c>
      <c r="DX35" s="37"/>
      <c r="DY35" s="35">
        <f t="shared" si="39"/>
        <v>0.34197075898386387</v>
      </c>
      <c r="DZ35" s="56"/>
      <c r="EA35" s="56"/>
      <c r="EC35" s="2" t="e" vm="35">
        <v>#VALUE!</v>
      </c>
      <c r="EE35" s="10" cm="1">
        <f t="array" aca="1" ref="EE35" ca="1">_FV(EC35,"Ações em circulação",TRUE)</f>
        <v>179393900</v>
      </c>
      <c r="EF35" s="18">
        <f>VLOOKUP(BP35,Fundamentus!A:U,5,FALSE)</f>
        <v>1.2589999999999999</v>
      </c>
      <c r="EG35" s="2">
        <f t="shared" ca="1" si="20"/>
        <v>1752617132.6449564</v>
      </c>
      <c r="EH35" s="17">
        <v>262366784.75694996</v>
      </c>
      <c r="EI35" s="17">
        <f t="shared" ca="1" si="21"/>
        <v>262366784.75694996</v>
      </c>
      <c r="EK35" s="16">
        <f t="shared" ca="1" si="22"/>
        <v>0</v>
      </c>
      <c r="EL35" s="32" t="str">
        <f>IF(VLOOKUP(BP35,Fundamentus!A:U,3,FALSE)&lt;15,"Bom",IF(VLOOKUP(BP35,Fundamentus!A:U,3,FALSE)&gt;15,"Ruim","n/a"))</f>
        <v>Bom</v>
      </c>
      <c r="EM35" s="28" t="str">
        <f>IF(VLOOKUP(BP35,Fundamentus!A:U,4,FALSE)&lt;1,"Baixo",IF(VLOOKUP(BP35,Fundamentus!A:U,4,FALSE)&lt;1.5,"Moderado",IF(VLOOKUP(BP35,Fundamentus!A:U,4,FALSE)&gt;1.5,"Alto","n/a")))</f>
        <v>Moderado</v>
      </c>
      <c r="EN35" s="17" t="str">
        <f>IF(VLOOKUP(BP35,Fundamentus!A:U,8,FALSE)&lt;0,"Risco elevado",IF(VLOOKUP(BP35,Fundamentus!A:U,8,FALSE)&lt;1,"Saudável",IF(VLOOKUP(BP35,Fundamentus!A:U,8,FALSE)&lt;3,"Estável",IF(VLOOKUP(BP35,Fundamentus!A:U,8,FALSE)&gt;3,"Alerta","n/a"))))</f>
        <v>Estável</v>
      </c>
      <c r="EO35" s="28" t="str">
        <f t="shared" si="23"/>
        <v>Bom</v>
      </c>
      <c r="EP35" s="17" t="str">
        <f>IF(VLOOKUP(BP35,Fundamentus!A:U,12,FALSE)&lt;2,"Subvalorizada",IF(VLOOKUP(BP35,Fundamentus!A:U,12,FALSE)&lt;6,"Muita barata",IF(VLOOKUP(BP35,Fundamentus!A:U,12,FALSE)&lt;6,"Barata",IF(VLOOKUP(BP35,Fundamentus!A:U,12,FALSE)&lt;8,"Atrativa",IF(VLOOKUP(BP35,Fundamentus!A:U,12,FALSE)&gt;8,"Supervalorizada","n/a")))))</f>
        <v>Muita barata</v>
      </c>
      <c r="ER35" s="17" t="str">
        <f>IF(VLOOKUP(BP35,Fundamentus!A:U,17,FALSE)&lt;0.1,"Fraco retorno",IF(VLOOKUP(BP35,Fundamentus!A:U,17,FALSE)&gt;0.1,"Bom retorno","n/a"))</f>
        <v>Bom retorno</v>
      </c>
      <c r="ES35" s="17" t="str">
        <f>IF(VLOOKUP(BP35,Fundamentus!A:U,16,FALSE)&lt;0.1,"Ineficiente",IF(VLOOKUP(BP35,Fundamentus!A:U,16,FALSE)&gt;0.1,"Eficiente","n/a"))</f>
        <v>Eficiente</v>
      </c>
      <c r="ET35" s="33" t="str">
        <f>IF(VLOOKUP(BP35,Fundamentus!A:U,16,FALSE)&lt;0.1,"Oper. Ineficiente",IF(VLOOKUP(BP35,Fundamentus!A:U,16,FALSE)&gt;0.1,"Oper.Eficiente","n/a"))</f>
        <v>Oper.Eficiente</v>
      </c>
      <c r="EU35" s="34">
        <f>VLOOKUP(BP35,Fundamentus!A:U,14,FALSE)</f>
        <v>0.1497</v>
      </c>
      <c r="EV35" s="17" t="str">
        <f>IF(VLOOKUP(BP35,Fundamentus!A:U,21,FALSE)&lt;0,"Negativo",IF(VLOOKUP(BP35,Fundamentus!A:U,21,FALSE)&lt;0.05,"Fraco",IF(VLOOKUP(BP35,Fundamentus!A:U,21,FALSE)&lt;0.1,"Bom",IF(VLOOKUP(BP35,Fundamentus!A:U,21,FALSE)&gt;0.1,"Muito bom","n/a"))))</f>
        <v>Bom</v>
      </c>
      <c r="EX35" s="29" t="str">
        <f>IF(VLOOKUP(BP35,Fundamentus!A:U,15,FALSE)&gt;1,"Bom",IF(VLOOKUP(BP35,Fundamentus!A:U,15,FALSE)&lt;1,"Ruim","n/a"))</f>
        <v>Bom</v>
      </c>
      <c r="EY35" s="17" t="str">
        <f>IF(VLOOKUP(BP35,Fundamentus!A:U,20,FALSE)&lt;0.5,"Baixa",IF(VLOOKUP(BP35,Fundamentus!A:U,20,FALSE)&lt;1,"Moderada",IF(VLOOKUP(BP35,Fundamentus!A:U,20,FALSE)&lt;2,"Alerta",IF(VLOOKUP(BP35,Fundamentus!A:U,20,FALSE)&gt;2,"Alta","n/a"))))</f>
        <v>Baixa</v>
      </c>
    </row>
    <row r="36" spans="1:155" s="2" customFormat="1" ht="11.25" x14ac:dyDescent="0.2">
      <c r="A36" s="4">
        <v>17.14</v>
      </c>
      <c r="B36" s="4">
        <v>17.350000000000001</v>
      </c>
      <c r="C36" s="4">
        <v>17.239999999999998</v>
      </c>
      <c r="D36" s="4">
        <v>16.38</v>
      </c>
      <c r="E36" s="4">
        <v>16.12</v>
      </c>
      <c r="F36" s="4">
        <v>15.27</v>
      </c>
      <c r="G36" s="4">
        <v>15.2</v>
      </c>
      <c r="H36" s="4">
        <v>16.02</v>
      </c>
      <c r="I36" s="4">
        <v>16.25</v>
      </c>
      <c r="J36" s="4">
        <v>16.16</v>
      </c>
      <c r="K36" s="4">
        <v>16.239999999999998</v>
      </c>
      <c r="L36" s="4">
        <v>16.57</v>
      </c>
      <c r="M36" s="4">
        <v>16.18</v>
      </c>
      <c r="N36" s="4">
        <v>15.59</v>
      </c>
      <c r="O36" s="4">
        <v>15.64</v>
      </c>
      <c r="P36" s="4">
        <v>15.54</v>
      </c>
      <c r="Q36" s="4">
        <v>16.260000000000002</v>
      </c>
      <c r="R36" s="4">
        <v>16.21</v>
      </c>
      <c r="S36" s="4">
        <v>16.2</v>
      </c>
      <c r="T36" s="4">
        <v>16.68</v>
      </c>
      <c r="U36" s="4">
        <v>16.25</v>
      </c>
      <c r="V36" s="4">
        <v>16.82</v>
      </c>
      <c r="W36" s="4">
        <v>16.95</v>
      </c>
      <c r="X36" s="4">
        <v>16.46</v>
      </c>
      <c r="Y36" s="4">
        <v>16.59</v>
      </c>
      <c r="Z36" s="4">
        <v>17.3</v>
      </c>
      <c r="AA36" s="4">
        <v>17.739999999999998</v>
      </c>
      <c r="AB36" s="4">
        <v>19.41</v>
      </c>
      <c r="AC36" s="4">
        <v>19.260000000000002</v>
      </c>
      <c r="AD36" s="4">
        <v>19.5</v>
      </c>
      <c r="AE36" s="4">
        <v>19.600000000000001</v>
      </c>
      <c r="AF36" s="4">
        <v>19.579999999999998</v>
      </c>
      <c r="AG36" s="4">
        <v>18.97</v>
      </c>
      <c r="AH36" s="4">
        <v>17.510000000000002</v>
      </c>
      <c r="AI36" s="4">
        <v>17.079999999999998</v>
      </c>
      <c r="AJ36" s="4">
        <v>16.07</v>
      </c>
      <c r="AK36" s="4">
        <v>15.47</v>
      </c>
      <c r="AL36" s="4">
        <v>15.92</v>
      </c>
      <c r="AM36" s="4">
        <v>16.25</v>
      </c>
      <c r="AN36" s="4">
        <v>15.87</v>
      </c>
      <c r="AO36" s="4">
        <v>15.86</v>
      </c>
      <c r="AP36" s="4">
        <v>16.350000000000001</v>
      </c>
      <c r="AQ36" s="4">
        <v>15.36</v>
      </c>
      <c r="AR36" s="4">
        <v>15.69</v>
      </c>
      <c r="AS36" s="4">
        <v>15.84</v>
      </c>
      <c r="AT36" s="4">
        <v>15.71</v>
      </c>
      <c r="AU36" s="4">
        <v>16.004999999999999</v>
      </c>
      <c r="AV36" s="4">
        <v>15.95</v>
      </c>
      <c r="AW36" s="4">
        <v>14.75</v>
      </c>
      <c r="AX36" s="4">
        <v>14.28</v>
      </c>
      <c r="AY36" s="12">
        <v>14.55</v>
      </c>
      <c r="AZ36" s="12">
        <v>14.99</v>
      </c>
      <c r="BA36" s="12">
        <v>14.68</v>
      </c>
      <c r="BB36" s="15">
        <v>14.5</v>
      </c>
      <c r="BC36" s="52">
        <v>15.2</v>
      </c>
      <c r="BD36" s="52">
        <v>14.96</v>
      </c>
      <c r="BE36" s="52">
        <v>14.54</v>
      </c>
      <c r="BF36" s="52">
        <v>15.01</v>
      </c>
      <c r="BG36" s="67">
        <v>14.96</v>
      </c>
      <c r="BH36" s="52">
        <v>14.27</v>
      </c>
      <c r="BI36" s="52">
        <v>14.55</v>
      </c>
      <c r="BJ36" s="52">
        <v>15.16</v>
      </c>
      <c r="BK36" s="52">
        <v>14.94</v>
      </c>
      <c r="BL36" s="52">
        <v>14.65</v>
      </c>
      <c r="BM36" s="52">
        <v>15.04</v>
      </c>
      <c r="BN36" s="52">
        <v>14.37</v>
      </c>
      <c r="BO36" s="52" cm="1">
        <f t="array" aca="1" ref="BO36" ca="1">_FV(EC36,"Preço")</f>
        <v>14.37</v>
      </c>
      <c r="BP36" s="69" t="s">
        <v>33</v>
      </c>
      <c r="BQ36" s="36" cm="1">
        <f t="array" aca="1" ref="BQ36" ca="1">_FV(EC36,"Média de volume",TRUE)</f>
        <v>10720030</v>
      </c>
      <c r="BR36" s="36">
        <v>57900</v>
      </c>
      <c r="BS36" s="36" cm="1">
        <f t="array" aca="1" ref="BS36" ca="1">_FV(EC36,"Volume")</f>
        <v>57900</v>
      </c>
      <c r="BT36" s="24" cm="1">
        <f t="array" aca="1" ref="BT36" ca="1">_FV(EC36,"Beta")</f>
        <v>0.65059999999999996</v>
      </c>
      <c r="BU36" s="71" cm="1">
        <f t="array" aca="1" ref="BU36" ca="1">_FV(EC36,"Variação (%)",TRUE)</f>
        <v>-1.5753E-2</v>
      </c>
      <c r="BW36" s="17" cm="1">
        <f t="array" aca="1" ref="BW36" ca="1">_FV(EC36,"Baixo")</f>
        <v>14.31</v>
      </c>
      <c r="BX36" s="17" cm="1">
        <f t="array" aca="1" ref="BX36" ca="1">_FV(EC36,"Alto")</f>
        <v>14.74</v>
      </c>
      <c r="BY36" s="24"/>
      <c r="BZ36" s="63">
        <f ca="1">SQRT(22.5*(BO36/VLOOKUP(BP36,Fundamentus!A:U,3,FALSE))*(BO36/VLOOKUP(BP36,Fundamentus!A:U,4,FALSE)))</f>
        <v>29.851249460639579</v>
      </c>
      <c r="CB36" s="62">
        <f t="shared" ca="1" si="24"/>
        <v>0</v>
      </c>
      <c r="CC36" s="8"/>
      <c r="CD36" s="61">
        <f t="shared" si="25"/>
        <v>14.27</v>
      </c>
      <c r="CE36" s="61">
        <f t="shared" si="26"/>
        <v>19.600000000000001</v>
      </c>
      <c r="CF36" s="61">
        <f t="shared" si="27"/>
        <v>16.136439393939394</v>
      </c>
      <c r="CG36" s="14"/>
      <c r="CH36" s="35">
        <f t="shared" si="1"/>
        <v>13.84793007420417</v>
      </c>
      <c r="CI36" s="15">
        <f t="shared" si="28"/>
        <v>14.419999999999959</v>
      </c>
      <c r="CJ36" s="35">
        <f t="shared" si="2"/>
        <v>14.992069925795748</v>
      </c>
      <c r="CL36" s="14"/>
      <c r="CM36" s="17">
        <f t="shared" si="3"/>
        <v>7.23</v>
      </c>
      <c r="CN36" s="17">
        <f t="shared" si="4"/>
        <v>10.75</v>
      </c>
      <c r="CO36" s="17">
        <f t="shared" si="5"/>
        <v>12.560000000000002</v>
      </c>
      <c r="CP36" s="38">
        <f t="shared" si="29"/>
        <v>16.080000000000002</v>
      </c>
      <c r="CQ36" s="17">
        <f t="shared" si="6"/>
        <v>17.890000000000004</v>
      </c>
      <c r="CR36" s="17">
        <f t="shared" si="7"/>
        <v>21.410000000000004</v>
      </c>
      <c r="CS36" s="17">
        <f t="shared" si="8"/>
        <v>23.220000000000006</v>
      </c>
      <c r="CT36" s="2" cm="1">
        <f t="array" aca="1" ref="CT36" ca="1">MAX(_xlfn._xlws.FILTER(CM36:CS36,CM36:CS36&lt;BO36))</f>
        <v>12.560000000000002</v>
      </c>
      <c r="CU36" s="2" cm="1">
        <f t="array" aca="1" ref="CU36" ca="1">MIN(_xlfn._xlws.FILTER($CM36:$CS36,$CM36:$CS36&gt;BO36))</f>
        <v>16.080000000000002</v>
      </c>
      <c r="CV36" s="16">
        <f t="shared" ca="1" si="63"/>
        <v>0.28025477707006363</v>
      </c>
      <c r="CW36" s="20">
        <f t="shared" ca="1" si="64"/>
        <v>-0.14012738853503182</v>
      </c>
      <c r="CX36" s="20">
        <f t="shared" ca="1" si="65"/>
        <v>-9.3418259023354544E-2</v>
      </c>
      <c r="CY36" s="20">
        <f t="shared" ca="1" si="66"/>
        <v>-5.6050955414012726E-2</v>
      </c>
      <c r="CZ36" s="20">
        <f t="shared" ca="1" si="67"/>
        <v>-3.1139419674451514E-2</v>
      </c>
      <c r="DA36" s="20">
        <f t="shared" ca="1" si="68"/>
        <v>-1.6485575121768448E-2</v>
      </c>
      <c r="DB36" s="20">
        <f t="shared" ca="1" si="69"/>
        <v>-8.4925690021231404E-3</v>
      </c>
      <c r="DC36" s="20">
        <f t="shared" ca="1" si="70"/>
        <v>-4.3116119549240555E-3</v>
      </c>
      <c r="DD36" s="21">
        <f t="shared" ca="1" si="71"/>
        <v>4.3116119549240555E-3</v>
      </c>
      <c r="DE36" s="21">
        <f t="shared" ca="1" si="72"/>
        <v>8.4925690021231404E-3</v>
      </c>
      <c r="DF36" s="21">
        <f t="shared" ca="1" si="73"/>
        <v>1.6485575121768448E-2</v>
      </c>
      <c r="DG36" s="21">
        <f t="shared" ca="1" si="74"/>
        <v>3.1139419674451514E-2</v>
      </c>
      <c r="DH36" s="21">
        <f t="shared" ca="1" si="75"/>
        <v>5.6050955414012726E-2</v>
      </c>
      <c r="DI36" s="21">
        <f t="shared" ca="1" si="76"/>
        <v>9.3418259023354544E-2</v>
      </c>
      <c r="DJ36" s="21">
        <f t="shared" ca="1" si="77"/>
        <v>0.14012738853503182</v>
      </c>
      <c r="DL36" s="16" cm="1">
        <f t="array" aca="1" ref="DL36" ca="1">MAX(_xlfn._xlws.FILTER(CW36:DJ36,CW36:DJ36&lt;BU36))</f>
        <v>-1.6485575121768448E-2</v>
      </c>
      <c r="DM36" s="16" cm="1">
        <f t="array" aca="1" ref="DM36" ca="1">MIN(_xlfn._xlws.FILTER(CW36:DJ36,CW36:DJ36&gt;BU36))</f>
        <v>-8.4925690021231404E-3</v>
      </c>
      <c r="DN36" s="2" cm="1">
        <f t="array" aca="1" ref="DN36" ca="1">_FV(EC36,"Fechamento anterior",TRUE)</f>
        <v>14.6</v>
      </c>
      <c r="DO36" s="28">
        <f t="shared" ca="1" si="15"/>
        <v>9.1598886986296757E-2</v>
      </c>
      <c r="DP36" s="15">
        <f t="shared" ca="1" si="78"/>
        <v>14.35931060322218</v>
      </c>
      <c r="DQ36" s="15">
        <f t="shared" ca="1" si="79"/>
        <v>14.476008492569001</v>
      </c>
      <c r="DR36" s="9"/>
      <c r="DS36" s="9"/>
      <c r="DT36" s="9"/>
      <c r="DU36" s="89">
        <v>7.6671216223271298E-3</v>
      </c>
      <c r="DV36" s="89">
        <f t="shared" ca="1" si="18"/>
        <v>7.993006119645308E-3</v>
      </c>
      <c r="DW36" s="72">
        <f t="shared" ca="1" si="19"/>
        <v>-8.7401902713914487E-2</v>
      </c>
      <c r="DX36" s="37"/>
      <c r="DY36" s="35">
        <f t="shared" si="39"/>
        <v>0.28603496289789476</v>
      </c>
      <c r="DZ36" s="56"/>
      <c r="EA36" s="56"/>
      <c r="EC36" s="2" t="e" vm="36">
        <v>#VALUE!</v>
      </c>
      <c r="EE36" s="10" cm="1">
        <f t="array" aca="1" ref="EE36" ca="1">_FV(EC36,"Ações em circulação",TRUE)</f>
        <v>2013814000</v>
      </c>
      <c r="EF36" s="18">
        <f>VLOOKUP(BP36,Fundamentus!A:U,5,FALSE)</f>
        <v>0.45500000000000002</v>
      </c>
      <c r="EG36" s="2">
        <f t="shared" ca="1" si="20"/>
        <v>63601114681.31868</v>
      </c>
      <c r="EH36" s="17">
        <v>3084654062.0439563</v>
      </c>
      <c r="EI36" s="17">
        <f t="shared" ca="1" si="21"/>
        <v>3084654062.0439563</v>
      </c>
      <c r="EK36" s="16">
        <f t="shared" ca="1" si="22"/>
        <v>0</v>
      </c>
      <c r="EL36" s="32" t="str">
        <f>IF(VLOOKUP(BP36,Fundamentus!A:U,3,FALSE)&lt;15,"Bom",IF(VLOOKUP(BP36,Fundamentus!A:U,3,FALSE)&gt;15,"Ruim","n/a"))</f>
        <v>Bom</v>
      </c>
      <c r="EM36" s="28" t="str">
        <f>IF(VLOOKUP(BP36,Fundamentus!A:U,4,FALSE)&lt;1,"Baixo",IF(VLOOKUP(BP36,Fundamentus!A:U,4,FALSE)&lt;1.5,"Moderado",IF(VLOOKUP(BP36,Fundamentus!A:U,4,FALSE)&gt;1.5,"Alto","n/a")))</f>
        <v>Baixo</v>
      </c>
      <c r="EN36" s="17" t="str">
        <f>IF(VLOOKUP(BP36,Fundamentus!A:U,8,FALSE)&lt;0,"Risco elevado",IF(VLOOKUP(BP36,Fundamentus!A:U,8,FALSE)&lt;1,"Saudável",IF(VLOOKUP(BP36,Fundamentus!A:U,8,FALSE)&lt;3,"Estável",IF(VLOOKUP(BP36,Fundamentus!A:U,8,FALSE)&gt;3,"Alerta","n/a"))))</f>
        <v>Estável</v>
      </c>
      <c r="EO36" s="28" t="str">
        <f t="shared" si="23"/>
        <v>Ruim</v>
      </c>
      <c r="EP36" s="17" t="str">
        <f>IF(VLOOKUP(BP36,Fundamentus!A:U,12,FALSE)&lt;2,"Subvalorizada",IF(VLOOKUP(BP36,Fundamentus!A:U,12,FALSE)&lt;6,"Muita barata",IF(VLOOKUP(BP36,Fundamentus!A:U,12,FALSE)&lt;6,"Barata",IF(VLOOKUP(BP36,Fundamentus!A:U,12,FALSE)&lt;8,"Atrativa",IF(VLOOKUP(BP36,Fundamentus!A:U,12,FALSE)&gt;8,"Supervalorizada","n/a")))))</f>
        <v>Muita barata</v>
      </c>
      <c r="ER36" s="17" t="str">
        <f>IF(VLOOKUP(BP36,Fundamentus!A:U,17,FALSE)&lt;0.1,"Fraco retorno",IF(VLOOKUP(BP36,Fundamentus!A:U,17,FALSE)&gt;0.1,"Bom retorno","n/a"))</f>
        <v>Fraco retorno</v>
      </c>
      <c r="ES36" s="17" t="str">
        <f>IF(VLOOKUP(BP36,Fundamentus!A:U,16,FALSE)&lt;0.1,"Ineficiente",IF(VLOOKUP(BP36,Fundamentus!A:U,16,FALSE)&gt;0.1,"Eficiente","n/a"))</f>
        <v>Ineficiente</v>
      </c>
      <c r="ET36" s="33" t="str">
        <f>IF(VLOOKUP(BP36,Fundamentus!A:U,16,FALSE)&lt;0.1,"Oper. Ineficiente",IF(VLOOKUP(BP36,Fundamentus!A:U,16,FALSE)&gt;0.1,"Oper.Eficiente","n/a"))</f>
        <v>Oper. Ineficiente</v>
      </c>
      <c r="EU36" s="34">
        <f>VLOOKUP(BP36,Fundamentus!A:U,14,FALSE)</f>
        <v>4.8500000000000001E-2</v>
      </c>
      <c r="EV36" s="17" t="str">
        <f>IF(VLOOKUP(BP36,Fundamentus!A:U,21,FALSE)&lt;0,"Negativo",IF(VLOOKUP(BP36,Fundamentus!A:U,21,FALSE)&lt;0.05,"Fraco",IF(VLOOKUP(BP36,Fundamentus!A:U,21,FALSE)&lt;0.1,"Bom",IF(VLOOKUP(BP36,Fundamentus!A:U,21,FALSE)&gt;0.1,"Muito bom","n/a"))))</f>
        <v>Fraco</v>
      </c>
      <c r="EX36" s="29" t="str">
        <f>IF(VLOOKUP(BP36,Fundamentus!A:U,15,FALSE)&gt;1,"Bom",IF(VLOOKUP(BP36,Fundamentus!A:U,15,FALSE)&lt;1,"Ruim","n/a"))</f>
        <v>Bom</v>
      </c>
      <c r="EY36" s="17" t="str">
        <f>IF(VLOOKUP(BP36,Fundamentus!A:U,20,FALSE)&lt;0.5,"Baixa",IF(VLOOKUP(BP36,Fundamentus!A:U,20,FALSE)&lt;1,"Moderada",IF(VLOOKUP(BP36,Fundamentus!A:U,20,FALSE)&lt;2,"Alerta",IF(VLOOKUP(BP36,Fundamentus!A:U,20,FALSE)&gt;2,"Alta","n/a"))))</f>
        <v>Baixa</v>
      </c>
    </row>
    <row r="37" spans="1:155" s="5" customFormat="1" ht="11.25" x14ac:dyDescent="0.2">
      <c r="A37" s="4">
        <v>11.34</v>
      </c>
      <c r="B37" s="4">
        <v>11.53</v>
      </c>
      <c r="C37" s="4">
        <v>10.68</v>
      </c>
      <c r="D37" s="4">
        <v>10.25</v>
      </c>
      <c r="E37" s="4">
        <v>9.92</v>
      </c>
      <c r="F37" s="4">
        <v>9.73</v>
      </c>
      <c r="G37" s="4">
        <v>9.52</v>
      </c>
      <c r="H37" s="4">
        <v>8.91</v>
      </c>
      <c r="I37" s="4">
        <v>9</v>
      </c>
      <c r="J37" s="4">
        <v>10.14</v>
      </c>
      <c r="K37" s="4">
        <v>10.67</v>
      </c>
      <c r="L37" s="4">
        <v>10.25</v>
      </c>
      <c r="M37" s="4">
        <v>9.17</v>
      </c>
      <c r="N37" s="4">
        <v>9.57</v>
      </c>
      <c r="O37" s="4">
        <v>9.77</v>
      </c>
      <c r="P37" s="4">
        <v>9.25</v>
      </c>
      <c r="Q37" s="4">
        <v>9.3000000000000007</v>
      </c>
      <c r="R37" s="4">
        <v>8.9700000000000006</v>
      </c>
      <c r="S37" s="4">
        <v>9.27</v>
      </c>
      <c r="T37" s="4">
        <v>9.11</v>
      </c>
      <c r="U37" s="4">
        <v>8.6</v>
      </c>
      <c r="V37" s="4">
        <v>9.2799999999999994</v>
      </c>
      <c r="W37" s="4">
        <v>8.35</v>
      </c>
      <c r="X37" s="4">
        <v>7.35</v>
      </c>
      <c r="Y37" s="4">
        <v>6.92</v>
      </c>
      <c r="Z37" s="4">
        <v>7.01</v>
      </c>
      <c r="AA37" s="4">
        <v>7.54</v>
      </c>
      <c r="AB37" s="4">
        <v>6.95</v>
      </c>
      <c r="AC37" s="4">
        <v>6.61</v>
      </c>
      <c r="AD37" s="4">
        <v>6.64</v>
      </c>
      <c r="AE37" s="4">
        <v>6.4</v>
      </c>
      <c r="AF37" s="4">
        <v>5.94</v>
      </c>
      <c r="AG37" s="4">
        <v>5.86</v>
      </c>
      <c r="AH37" s="4">
        <v>5.69</v>
      </c>
      <c r="AI37" s="4">
        <v>5.37</v>
      </c>
      <c r="AJ37" s="4">
        <v>5.31</v>
      </c>
      <c r="AK37" s="4">
        <v>5.49</v>
      </c>
      <c r="AL37" s="4">
        <v>5.65</v>
      </c>
      <c r="AM37" s="4">
        <v>5.8</v>
      </c>
      <c r="AN37" s="4">
        <v>6.19</v>
      </c>
      <c r="AO37" s="4">
        <v>6.21</v>
      </c>
      <c r="AP37" s="4">
        <v>7.39</v>
      </c>
      <c r="AQ37" s="4">
        <v>7.2</v>
      </c>
      <c r="AR37" s="4">
        <v>7.25</v>
      </c>
      <c r="AS37" s="4">
        <v>7.39</v>
      </c>
      <c r="AT37" s="4">
        <v>7.45</v>
      </c>
      <c r="AU37" s="4">
        <v>7.4450000000000003</v>
      </c>
      <c r="AV37" s="4">
        <v>7.36</v>
      </c>
      <c r="AW37" s="4">
        <v>8.23</v>
      </c>
      <c r="AX37" s="4">
        <v>8.2899999999999991</v>
      </c>
      <c r="AY37" s="12">
        <v>8.42</v>
      </c>
      <c r="AZ37" s="12">
        <v>8.64</v>
      </c>
      <c r="BA37" s="12">
        <v>8.5500000000000007</v>
      </c>
      <c r="BB37" s="15">
        <v>8.4700000000000006</v>
      </c>
      <c r="BC37" s="52">
        <v>8.48</v>
      </c>
      <c r="BD37" s="52">
        <v>8.4499999999999993</v>
      </c>
      <c r="BE37" s="52">
        <v>8.48</v>
      </c>
      <c r="BF37" s="52">
        <v>8.48</v>
      </c>
      <c r="BG37" s="67">
        <v>8.48</v>
      </c>
      <c r="BH37" s="52">
        <v>8.48</v>
      </c>
      <c r="BI37" s="52">
        <v>8.48</v>
      </c>
      <c r="BJ37" s="52">
        <v>8.48</v>
      </c>
      <c r="BK37" s="52">
        <v>8.48</v>
      </c>
      <c r="BL37" s="52">
        <v>8.48</v>
      </c>
      <c r="BM37" s="52">
        <v>8.48</v>
      </c>
      <c r="BN37" s="52">
        <v>8.48</v>
      </c>
      <c r="BO37" s="52" cm="1">
        <f t="array" aca="1" ref="BO37" ca="1">_FV(EC37,"Preço")</f>
        <v>8.48</v>
      </c>
      <c r="BP37" s="69" t="s">
        <v>34</v>
      </c>
      <c r="BQ37" s="36" cm="1">
        <f t="array" aca="1" ref="BQ37" ca="1">_FV(EC37,"Média de volume",TRUE)</f>
        <v>3276280</v>
      </c>
      <c r="BR37" s="36">
        <v>14418400</v>
      </c>
      <c r="BS37" s="36" cm="1">
        <f t="array" aca="1" ref="BS37" ca="1">_FV(EC37,"Volume")</f>
        <v>14418400</v>
      </c>
      <c r="BT37" s="24" cm="1">
        <f t="array" aca="1" ref="BT37" ca="1">_FV(EC37,"Beta")</f>
        <v>1.3414999999999999</v>
      </c>
      <c r="BU37" s="71" cm="1">
        <f t="array" aca="1" ref="BU37" ca="1">_FV(EC37,"Variação (%)",TRUE)</f>
        <v>0</v>
      </c>
      <c r="BW37" s="17" cm="1">
        <f t="array" aca="1" ref="BW37" ca="1">_FV(EC37,"Baixo")</f>
        <v>8.44</v>
      </c>
      <c r="BX37" s="17" cm="1">
        <f t="array" aca="1" ref="BX37" ca="1">_FV(EC37,"Alto")</f>
        <v>8.5399999999999991</v>
      </c>
      <c r="BY37" s="24"/>
      <c r="BZ37" s="63">
        <f ca="1">SQRT(22.5*(BO37/VLOOKUP(BP37,Fundamentus!A:U,3,FALSE))*(BO37/VLOOKUP(BP37,Fundamentus!A:U,4,FALSE)))</f>
        <v>14.694846067956021</v>
      </c>
      <c r="CB37" s="62">
        <f t="shared" ca="1" si="24"/>
        <v>0</v>
      </c>
      <c r="CC37" s="8"/>
      <c r="CD37" s="61">
        <f t="shared" si="25"/>
        <v>5.31</v>
      </c>
      <c r="CE37" s="61">
        <f t="shared" si="26"/>
        <v>11.53</v>
      </c>
      <c r="CF37" s="61">
        <f t="shared" si="27"/>
        <v>8.1715909090909111</v>
      </c>
      <c r="CG37" s="14"/>
      <c r="CH37" s="35">
        <f t="shared" si="1"/>
        <v>8.48</v>
      </c>
      <c r="CI37" s="15">
        <f t="shared" si="28"/>
        <v>8.48</v>
      </c>
      <c r="CJ37" s="35">
        <f t="shared" si="2"/>
        <v>8.48</v>
      </c>
      <c r="CL37" s="14"/>
      <c r="CM37" s="17">
        <f t="shared" si="3"/>
        <v>-0.87000000000000011</v>
      </c>
      <c r="CN37" s="17">
        <f t="shared" si="4"/>
        <v>2.2199999999999998</v>
      </c>
      <c r="CO37" s="17">
        <f t="shared" si="5"/>
        <v>5.35</v>
      </c>
      <c r="CP37" s="38">
        <f t="shared" si="29"/>
        <v>8.44</v>
      </c>
      <c r="CQ37" s="17">
        <f t="shared" si="6"/>
        <v>11.57</v>
      </c>
      <c r="CR37" s="17">
        <f t="shared" si="7"/>
        <v>14.66</v>
      </c>
      <c r="CS37" s="17">
        <f t="shared" si="8"/>
        <v>17.79</v>
      </c>
      <c r="CT37" s="2" cm="1">
        <f t="array" aca="1" ref="CT37" ca="1">MAX(_xlfn._xlws.FILTER(CM37:CS37,CM37:CS37&lt;BO37))</f>
        <v>8.44</v>
      </c>
      <c r="CU37" s="2" cm="1">
        <f t="array" aca="1" ref="CU37" ca="1">MIN(_xlfn._xlws.FILTER($CM37:$CS37,$CM37:$CS37&gt;BO37))</f>
        <v>11.57</v>
      </c>
      <c r="CV37" s="16">
        <f t="shared" ca="1" si="63"/>
        <v>0.37085308056872046</v>
      </c>
      <c r="CW37" s="20">
        <f t="shared" ca="1" si="64"/>
        <v>-0.18542654028436023</v>
      </c>
      <c r="CX37" s="20">
        <f t="shared" ca="1" si="65"/>
        <v>-0.12361769352290682</v>
      </c>
      <c r="CY37" s="20">
        <f t="shared" ca="1" si="66"/>
        <v>-7.4170616113744092E-2</v>
      </c>
      <c r="CZ37" s="20">
        <f t="shared" ca="1" si="67"/>
        <v>-4.1205897840968939E-2</v>
      </c>
      <c r="DA37" s="20">
        <f t="shared" ca="1" si="68"/>
        <v>-2.1814887092277673E-2</v>
      </c>
      <c r="DB37" s="20">
        <f t="shared" ca="1" si="69"/>
        <v>-1.1237972138446075E-2</v>
      </c>
      <c r="DC37" s="20">
        <f t="shared" ca="1" si="70"/>
        <v>-5.7054320087495452E-3</v>
      </c>
      <c r="DD37" s="21">
        <f t="shared" ca="1" si="71"/>
        <v>5.7054320087495452E-3</v>
      </c>
      <c r="DE37" s="21">
        <f t="shared" ca="1" si="72"/>
        <v>1.1237972138446075E-2</v>
      </c>
      <c r="DF37" s="21">
        <f t="shared" ca="1" si="73"/>
        <v>2.1814887092277673E-2</v>
      </c>
      <c r="DG37" s="21">
        <f t="shared" ca="1" si="74"/>
        <v>4.1205897840968939E-2</v>
      </c>
      <c r="DH37" s="21">
        <f t="shared" ca="1" si="75"/>
        <v>7.4170616113744092E-2</v>
      </c>
      <c r="DI37" s="21">
        <f t="shared" ca="1" si="76"/>
        <v>0.12361769352290682</v>
      </c>
      <c r="DJ37" s="21">
        <f t="shared" ca="1" si="77"/>
        <v>0.18542654028436023</v>
      </c>
      <c r="DL37" s="16" cm="1">
        <f t="array" aca="1" ref="DL37" ca="1">MAX(_xlfn._xlws.FILTER(CW37:DJ37,CW37:DJ37&lt;BU37))</f>
        <v>-5.7054320087495452E-3</v>
      </c>
      <c r="DM37" s="16" cm="1">
        <f t="array" aca="1" ref="DM37" ca="1">MIN(_xlfn._xlws.FILTER(CW37:DJ37,CW37:DJ37&gt;BU37))</f>
        <v>5.7054320087495452E-3</v>
      </c>
      <c r="DN37" s="2" cm="1">
        <f t="array" aca="1" ref="DN37" ca="1">_FV(EC37,"Fechamento anterior",TRUE)</f>
        <v>8.4499999999999993</v>
      </c>
      <c r="DO37" s="28">
        <f t="shared" ca="1" si="15"/>
        <v>0.81113295650038564</v>
      </c>
      <c r="DP37" s="15">
        <f t="shared" ca="1" si="78"/>
        <v>8.4017890995260665</v>
      </c>
      <c r="DQ37" s="15">
        <f t="shared" ca="1" si="79"/>
        <v>8.4982109004739321</v>
      </c>
      <c r="DR37" s="9"/>
      <c r="DS37" s="9"/>
      <c r="DT37" s="9"/>
      <c r="DU37" s="89">
        <v>1.141086401749909E-2</v>
      </c>
      <c r="DV37" s="89">
        <f t="shared" ca="1" si="18"/>
        <v>1.141086401749909E-2</v>
      </c>
      <c r="DW37" s="72" t="e">
        <f t="shared" ca="1" si="19"/>
        <v>#DIV/0!</v>
      </c>
      <c r="DX37" s="37"/>
      <c r="DY37" s="35">
        <f t="shared" si="39"/>
        <v>0</v>
      </c>
      <c r="DZ37" s="56"/>
      <c r="EA37" s="56"/>
      <c r="EC37" s="5" t="e" vm="37">
        <v>#VALUE!</v>
      </c>
      <c r="EE37" s="10" cm="1">
        <f t="array" aca="1" ref="EE37" ca="1">_FV(EC37,"Ações em circulação",TRUE)</f>
        <v>2109057000</v>
      </c>
      <c r="EF37" s="18">
        <f>VLOOKUP(BP37,Fundamentus!A:U,5,FALSE)</f>
        <v>0.15</v>
      </c>
      <c r="EG37" s="2">
        <f t="shared" ca="1" si="20"/>
        <v>119232022400</v>
      </c>
      <c r="EH37" s="17">
        <v>2217715616.6399999</v>
      </c>
      <c r="EI37" s="17">
        <f t="shared" ca="1" si="21"/>
        <v>2217715616.6399999</v>
      </c>
      <c r="EJ37" s="2"/>
      <c r="EK37" s="16">
        <f t="shared" ca="1" si="22"/>
        <v>0</v>
      </c>
      <c r="EL37" s="32" t="str">
        <f>IF(VLOOKUP(BP37,Fundamentus!A:U,3,FALSE)&lt;15,"Bom",IF(VLOOKUP(BP37,Fundamentus!A:U,3,FALSE)&gt;15,"Ruim","n/a"))</f>
        <v>Bom</v>
      </c>
      <c r="EM37" s="28" t="str">
        <f>IF(VLOOKUP(BP37,Fundamentus!A:U,4,FALSE)&lt;1,"Baixo",IF(VLOOKUP(BP37,Fundamentus!A:U,4,FALSE)&lt;1.5,"Moderado",IF(VLOOKUP(BP37,Fundamentus!A:U,4,FALSE)&gt;1.5,"Alto","n/a")))</f>
        <v>Baixo</v>
      </c>
      <c r="EN37" s="17" t="str">
        <f>IF(VLOOKUP(BP37,Fundamentus!A:U,8,FALSE)&lt;0,"Risco elevado",IF(VLOOKUP(BP37,Fundamentus!A:U,8,FALSE)&lt;1,"Saudável",IF(VLOOKUP(BP37,Fundamentus!A:U,8,FALSE)&lt;3,"Estável",IF(VLOOKUP(BP37,Fundamentus!A:U,8,FALSE)&gt;3,"Alerta","n/a"))))</f>
        <v>Risco elevado</v>
      </c>
      <c r="EO37" s="28" t="str">
        <f t="shared" si="23"/>
        <v>Ruim</v>
      </c>
      <c r="EP37" s="17" t="str">
        <f>IF(VLOOKUP(BP37,Fundamentus!A:U,12,FALSE)&lt;2,"Subvalorizada",IF(VLOOKUP(BP37,Fundamentus!A:U,12,FALSE)&lt;6,"Muita barata",IF(VLOOKUP(BP37,Fundamentus!A:U,12,FALSE)&lt;6,"Barata",IF(VLOOKUP(BP37,Fundamentus!A:U,12,FALSE)&lt;8,"Atrativa",IF(VLOOKUP(BP37,Fundamentus!A:U,12,FALSE)&gt;8,"Supervalorizada","n/a")))))</f>
        <v>Muita barata</v>
      </c>
      <c r="EQ37" s="2"/>
      <c r="ER37" s="17" t="str">
        <f>IF(VLOOKUP(BP37,Fundamentus!A:U,17,FALSE)&lt;0.1,"Fraco retorno",IF(VLOOKUP(BP37,Fundamentus!A:U,17,FALSE)&gt;0.1,"Bom retorno","n/a"))</f>
        <v>Fraco retorno</v>
      </c>
      <c r="ES37" s="17" t="str">
        <f>IF(VLOOKUP(BP37,Fundamentus!A:U,16,FALSE)&lt;0.1,"Ineficiente",IF(VLOOKUP(BP37,Fundamentus!A:U,16,FALSE)&gt;0.1,"Eficiente","n/a"))</f>
        <v>Ineficiente</v>
      </c>
      <c r="ET37" s="33" t="str">
        <f>IF(VLOOKUP(BP37,Fundamentus!A:U,16,FALSE)&lt;0.1,"Oper. Ineficiente",IF(VLOOKUP(BP37,Fundamentus!A:U,16,FALSE)&gt;0.1,"Oper.Eficiente","n/a"))</f>
        <v>Oper. Ineficiente</v>
      </c>
      <c r="EU37" s="34">
        <f>VLOOKUP(BP37,Fundamentus!A:U,14,FALSE)</f>
        <v>1.8599999999999998E-2</v>
      </c>
      <c r="EV37" s="17" t="str">
        <f>IF(VLOOKUP(BP37,Fundamentus!A:U,21,FALSE)&lt;0,"Negativo",IF(VLOOKUP(BP37,Fundamentus!A:U,21,FALSE)&lt;0.05,"Fraco",IF(VLOOKUP(BP37,Fundamentus!A:U,21,FALSE)&lt;0.1,"Bom",IF(VLOOKUP(BP37,Fundamentus!A:U,21,FALSE)&gt;0.1,"Muito bom","n/a"))))</f>
        <v>Muito bom</v>
      </c>
      <c r="EX37" s="29" t="str">
        <f>IF(VLOOKUP(BP37,Fundamentus!A:U,15,FALSE)&gt;1,"Bom",IF(VLOOKUP(BP37,Fundamentus!A:U,15,FALSE)&lt;1,"Ruim","n/a"))</f>
        <v>Ruim</v>
      </c>
      <c r="EY37" s="17" t="str">
        <f>IF(VLOOKUP(BP37,Fundamentus!A:U,20,FALSE)&lt;0.5,"Baixa",IF(VLOOKUP(BP37,Fundamentus!A:U,20,FALSE)&lt;1,"Moderada",IF(VLOOKUP(BP37,Fundamentus!A:U,20,FALSE)&lt;2,"Alerta",IF(VLOOKUP(BP37,Fundamentus!A:U,20,FALSE)&gt;2,"Alta","n/a"))))</f>
        <v>Alerta</v>
      </c>
    </row>
    <row r="38" spans="1:155" s="2" customFormat="1" ht="11.25" x14ac:dyDescent="0.2">
      <c r="A38" s="4">
        <v>5.07</v>
      </c>
      <c r="B38" s="4">
        <v>5.12</v>
      </c>
      <c r="C38" s="4">
        <v>5.5</v>
      </c>
      <c r="D38" s="4">
        <v>5.33</v>
      </c>
      <c r="E38" s="4">
        <v>5.15</v>
      </c>
      <c r="F38" s="4">
        <v>5.14</v>
      </c>
      <c r="G38" s="4">
        <v>5.01</v>
      </c>
      <c r="H38" s="4">
        <v>5.0199999999999996</v>
      </c>
      <c r="I38" s="4">
        <v>5.23</v>
      </c>
      <c r="J38" s="4">
        <v>5.16</v>
      </c>
      <c r="K38" s="4">
        <v>5.09</v>
      </c>
      <c r="L38" s="4">
        <v>5</v>
      </c>
      <c r="M38" s="4">
        <v>5.03</v>
      </c>
      <c r="N38" s="4">
        <v>5.26</v>
      </c>
      <c r="O38" s="4">
        <v>5.3</v>
      </c>
      <c r="P38" s="4">
        <v>5.41</v>
      </c>
      <c r="Q38" s="4">
        <v>5.55</v>
      </c>
      <c r="R38" s="4">
        <v>5.4</v>
      </c>
      <c r="S38" s="4">
        <v>5.75</v>
      </c>
      <c r="T38" s="4">
        <v>6.08</v>
      </c>
      <c r="U38" s="4">
        <v>5.98</v>
      </c>
      <c r="V38" s="4">
        <v>5.68</v>
      </c>
      <c r="W38" s="4">
        <v>5.33</v>
      </c>
      <c r="X38" s="4">
        <v>5.24</v>
      </c>
      <c r="Y38" s="4">
        <v>5.26</v>
      </c>
      <c r="Z38" s="4">
        <v>5.19</v>
      </c>
      <c r="AA38" s="4">
        <v>5.01</v>
      </c>
      <c r="AB38" s="4">
        <v>4.97</v>
      </c>
      <c r="AC38" s="4">
        <v>5.0199999999999996</v>
      </c>
      <c r="AD38" s="4">
        <v>5.07</v>
      </c>
      <c r="AE38" s="4">
        <v>5.88</v>
      </c>
      <c r="AF38" s="4">
        <v>6.03</v>
      </c>
      <c r="AG38" s="4">
        <v>5.58</v>
      </c>
      <c r="AH38" s="4">
        <v>5.46</v>
      </c>
      <c r="AI38" s="4">
        <v>5.5</v>
      </c>
      <c r="AJ38" s="4">
        <v>5.3</v>
      </c>
      <c r="AK38" s="4">
        <v>5.16</v>
      </c>
      <c r="AL38" s="4">
        <v>5.0999999999999996</v>
      </c>
      <c r="AM38" s="4">
        <v>5.0599999999999996</v>
      </c>
      <c r="AN38" s="4">
        <v>5.15</v>
      </c>
      <c r="AO38" s="4">
        <v>5.4</v>
      </c>
      <c r="AP38" s="4">
        <v>5.6</v>
      </c>
      <c r="AQ38" s="4">
        <v>5.69</v>
      </c>
      <c r="AR38" s="4">
        <v>5.7</v>
      </c>
      <c r="AS38" s="4">
        <v>5.86</v>
      </c>
      <c r="AT38" s="4">
        <v>5.82</v>
      </c>
      <c r="AU38" s="4">
        <v>6.0350000000000001</v>
      </c>
      <c r="AV38" s="4">
        <v>5.6</v>
      </c>
      <c r="AW38" s="4">
        <v>5.73</v>
      </c>
      <c r="AX38" s="4">
        <v>5.44</v>
      </c>
      <c r="AY38" s="12">
        <v>5.67</v>
      </c>
      <c r="AZ38" s="12">
        <v>5.96</v>
      </c>
      <c r="BA38" s="12">
        <v>6.15</v>
      </c>
      <c r="BB38" s="15">
        <v>6.3</v>
      </c>
      <c r="BC38" s="52">
        <v>6.08</v>
      </c>
      <c r="BD38" s="52">
        <v>6.35</v>
      </c>
      <c r="BE38" s="52">
        <v>6.55</v>
      </c>
      <c r="BF38" s="52">
        <v>6.69</v>
      </c>
      <c r="BG38" s="67">
        <v>7.19</v>
      </c>
      <c r="BH38" s="52" t="s">
        <v>503</v>
      </c>
      <c r="BI38" s="52">
        <v>7.7</v>
      </c>
      <c r="BJ38" s="52">
        <v>7.97</v>
      </c>
      <c r="BK38" s="52">
        <v>7.89</v>
      </c>
      <c r="BL38" s="52">
        <v>7.83</v>
      </c>
      <c r="BM38" s="52">
        <v>7.62</v>
      </c>
      <c r="BN38" s="52">
        <v>7.54</v>
      </c>
      <c r="BO38" s="52" cm="1">
        <f t="array" aca="1" ref="BO38" ca="1">_FV(EC38,"Preço")</f>
        <v>7.54</v>
      </c>
      <c r="BP38" s="69" t="s">
        <v>35</v>
      </c>
      <c r="BQ38" s="36" cm="1">
        <f t="array" aca="1" ref="BQ38" ca="1">_FV(EC38,"Média de volume",TRUE)</f>
        <v>1032460</v>
      </c>
      <c r="BR38" s="36">
        <v>250500</v>
      </c>
      <c r="BS38" s="36" cm="1">
        <f t="array" aca="1" ref="BS38" ca="1">_FV(EC38,"Volume")</f>
        <v>250500</v>
      </c>
      <c r="BT38" s="24" cm="1">
        <f t="array" aca="1" ref="BT38" ca="1">_FV(EC38,"Beta")</f>
        <v>0.61319999999999997</v>
      </c>
      <c r="BU38" s="71" cm="1">
        <f t="array" aca="1" ref="BU38" ca="1">_FV(EC38,"Variação (%)",TRUE)</f>
        <v>-1.1795999999999999E-2</v>
      </c>
      <c r="BW38" s="17" cm="1">
        <f t="array" aca="1" ref="BW38" ca="1">_FV(EC38,"Baixo")</f>
        <v>7.43</v>
      </c>
      <c r="BX38" s="17" cm="1">
        <f t="array" aca="1" ref="BX38" ca="1">_FV(EC38,"Alto")</f>
        <v>7.66</v>
      </c>
      <c r="BY38" s="24"/>
      <c r="BZ38" s="63">
        <f ca="1">SQRT(22.5*(BO38/VLOOKUP(BP38,Fundamentus!A:U,3,FALSE))*(BO38/VLOOKUP(BP38,Fundamentus!A:U,4,FALSE)))</f>
        <v>16.405093039516043</v>
      </c>
      <c r="CB38" s="62">
        <f t="shared" ca="1" si="24"/>
        <v>0</v>
      </c>
      <c r="CC38" s="8"/>
      <c r="CD38" s="61">
        <f t="shared" si="25"/>
        <v>4.97</v>
      </c>
      <c r="CE38" s="61">
        <f t="shared" si="26"/>
        <v>7.97</v>
      </c>
      <c r="CF38" s="61">
        <f t="shared" si="27"/>
        <v>5.7374615384615391</v>
      </c>
      <c r="CG38" s="14"/>
      <c r="CH38" s="35">
        <f t="shared" si="1"/>
        <v>7.0783197281745602</v>
      </c>
      <c r="CI38" s="15">
        <f t="shared" si="28"/>
        <v>7.4050000000000864</v>
      </c>
      <c r="CJ38" s="35">
        <f t="shared" si="2"/>
        <v>7.7316802718256126</v>
      </c>
      <c r="CL38" s="14"/>
      <c r="CM38" s="17">
        <f t="shared" si="3"/>
        <v>2.6833333333333345</v>
      </c>
      <c r="CN38" s="17">
        <f t="shared" si="4"/>
        <v>3.8266666666666671</v>
      </c>
      <c r="CO38" s="17">
        <f t="shared" si="5"/>
        <v>5.6833333333333345</v>
      </c>
      <c r="CP38" s="38">
        <f t="shared" si="29"/>
        <v>6.8266666666666671</v>
      </c>
      <c r="CQ38" s="17">
        <f t="shared" si="6"/>
        <v>8.6833333333333336</v>
      </c>
      <c r="CR38" s="17">
        <f t="shared" si="7"/>
        <v>9.826666666666668</v>
      </c>
      <c r="CS38" s="17">
        <f t="shared" si="8"/>
        <v>11.683333333333334</v>
      </c>
      <c r="CT38" s="2" cm="1">
        <f t="array" aca="1" ref="CT38" ca="1">MAX(_xlfn._xlws.FILTER(CM38:CS38,CM38:CS38&lt;BO38))</f>
        <v>6.8266666666666671</v>
      </c>
      <c r="CU38" s="2" cm="1">
        <f t="array" aca="1" ref="CU38" ca="1">MIN(_xlfn._xlws.FILTER($CM38:$CS38,$CM38:$CS38&gt;BO38))</f>
        <v>8.6833333333333336</v>
      </c>
      <c r="CV38" s="16">
        <f t="shared" ca="1" si="63"/>
        <v>0.27197265625</v>
      </c>
      <c r="CW38" s="20">
        <f t="shared" ca="1" si="64"/>
        <v>-0.135986328125</v>
      </c>
      <c r="CX38" s="20">
        <f t="shared" ca="1" si="65"/>
        <v>-9.0657552083333329E-2</v>
      </c>
      <c r="CY38" s="20">
        <f t="shared" ca="1" si="66"/>
        <v>-5.4394531250000003E-2</v>
      </c>
      <c r="CZ38" s="20">
        <f t="shared" ca="1" si="67"/>
        <v>-3.0219184027777776E-2</v>
      </c>
      <c r="DA38" s="20">
        <f t="shared" ca="1" si="68"/>
        <v>-1.5998391544117647E-2</v>
      </c>
      <c r="DB38" s="20">
        <f t="shared" ca="1" si="69"/>
        <v>-8.241595643939394E-3</v>
      </c>
      <c r="DC38" s="20">
        <f t="shared" ca="1" si="70"/>
        <v>-4.1841947115384614E-3</v>
      </c>
      <c r="DD38" s="21">
        <f t="shared" ca="1" si="71"/>
        <v>4.1841947115384614E-3</v>
      </c>
      <c r="DE38" s="21">
        <f t="shared" ca="1" si="72"/>
        <v>8.241595643939394E-3</v>
      </c>
      <c r="DF38" s="21">
        <f t="shared" ca="1" si="73"/>
        <v>1.5998391544117647E-2</v>
      </c>
      <c r="DG38" s="21">
        <f t="shared" ca="1" si="74"/>
        <v>3.0219184027777776E-2</v>
      </c>
      <c r="DH38" s="21">
        <f t="shared" ca="1" si="75"/>
        <v>5.4394531250000003E-2</v>
      </c>
      <c r="DI38" s="21">
        <f t="shared" ca="1" si="76"/>
        <v>9.0657552083333329E-2</v>
      </c>
      <c r="DJ38" s="21">
        <f t="shared" ca="1" si="77"/>
        <v>0.135986328125</v>
      </c>
      <c r="DL38" s="16" cm="1">
        <f t="array" aca="1" ref="DL38" ca="1">MAX(_xlfn._xlws.FILTER(CW38:DJ38,CW38:DJ38&lt;BU38))</f>
        <v>-1.5998391544117647E-2</v>
      </c>
      <c r="DM38" s="16" cm="1">
        <f t="array" aca="1" ref="DM38" ca="1">MIN(_xlfn._xlws.FILTER(CW38:DJ38,CW38:DJ38&gt;BU38))</f>
        <v>-8.241595643939394E-3</v>
      </c>
      <c r="DN38" s="2" cm="1">
        <f t="array" aca="1" ref="DN38" ca="1">_FV(EC38,"Fechamento anterior",TRUE)</f>
        <v>7.63</v>
      </c>
      <c r="DO38" s="28">
        <f t="shared" ca="1" si="15"/>
        <v>0.54182779752983556</v>
      </c>
      <c r="DP38" s="15">
        <f t="shared" ca="1" si="78"/>
        <v>7.5079322725183824</v>
      </c>
      <c r="DQ38" s="15">
        <f t="shared" ca="1" si="79"/>
        <v>7.5671166252367419</v>
      </c>
      <c r="DR38" s="9"/>
      <c r="DS38" s="9"/>
      <c r="DT38" s="9"/>
      <c r="DU38" s="89">
        <v>8.6811599570386262E-3</v>
      </c>
      <c r="DV38" s="89">
        <f t="shared" ca="1" si="18"/>
        <v>7.7567959001782535E-3</v>
      </c>
      <c r="DW38" s="72">
        <f t="shared" ca="1" si="19"/>
        <v>0.41324809498142762</v>
      </c>
      <c r="DX38" s="37"/>
      <c r="DY38" s="35">
        <f t="shared" si="39"/>
        <v>0.16334013591276322</v>
      </c>
      <c r="DZ38" s="56"/>
      <c r="EA38" s="56"/>
      <c r="EC38" s="2" t="e" vm="38">
        <v>#VALUE!</v>
      </c>
      <c r="EE38" s="10" cm="1">
        <f t="array" aca="1" ref="EE38" ca="1">_FV(EC38,"Ações em circulação",TRUE)</f>
        <v>1511206000</v>
      </c>
      <c r="EF38" s="18">
        <f>VLOOKUP(BP38,Fundamentus!A:U,5,FALSE)</f>
        <v>1.671</v>
      </c>
      <c r="EG38" s="2">
        <f t="shared" ca="1" si="20"/>
        <v>6818966630.7600241</v>
      </c>
      <c r="EH38" s="17">
        <v>2327313311.0783963</v>
      </c>
      <c r="EI38" s="17">
        <f t="shared" ca="1" si="21"/>
        <v>2327313311.0783963</v>
      </c>
      <c r="EK38" s="16">
        <f t="shared" ca="1" si="22"/>
        <v>0</v>
      </c>
      <c r="EL38" s="32" t="str">
        <f>IF(VLOOKUP(BP38,Fundamentus!A:U,3,FALSE)&lt;15,"Bom",IF(VLOOKUP(BP38,Fundamentus!A:U,3,FALSE)&gt;15,"Ruim","n/a"))</f>
        <v>Bom</v>
      </c>
      <c r="EM38" s="28" t="str">
        <f>IF(VLOOKUP(BP38,Fundamentus!A:U,4,FALSE)&lt;1,"Baixo",IF(VLOOKUP(BP38,Fundamentus!A:U,4,FALSE)&lt;1.5,"Moderado",IF(VLOOKUP(BP38,Fundamentus!A:U,4,FALSE)&gt;1.5,"Alto","n/a")))</f>
        <v>Baixo</v>
      </c>
      <c r="EN38" s="17" t="str">
        <f>IF(VLOOKUP(BP38,Fundamentus!A:U,8,FALSE)&lt;0,"Risco elevado",IF(VLOOKUP(BP38,Fundamentus!A:U,8,FALSE)&lt;1,"Saudável",IF(VLOOKUP(BP38,Fundamentus!A:U,8,FALSE)&lt;3,"Estável",IF(VLOOKUP(BP38,Fundamentus!A:U,8,FALSE)&gt;3,"Alerta","n/a"))))</f>
        <v>Alerta</v>
      </c>
      <c r="EO38" s="28" t="str">
        <f t="shared" si="23"/>
        <v>Bom</v>
      </c>
      <c r="EP38" s="17" t="str">
        <f>IF(VLOOKUP(BP38,Fundamentus!A:U,12,FALSE)&lt;2,"Subvalorizada",IF(VLOOKUP(BP38,Fundamentus!A:U,12,FALSE)&lt;6,"Muita barata",IF(VLOOKUP(BP38,Fundamentus!A:U,12,FALSE)&lt;6,"Barata",IF(VLOOKUP(BP38,Fundamentus!A:U,12,FALSE)&lt;8,"Atrativa",IF(VLOOKUP(BP38,Fundamentus!A:U,12,FALSE)&gt;8,"Supervalorizada","n/a")))))</f>
        <v>Atrativa</v>
      </c>
      <c r="ER38" s="17" t="str">
        <f>IF(VLOOKUP(BP38,Fundamentus!A:U,17,FALSE)&lt;0.1,"Fraco retorno",IF(VLOOKUP(BP38,Fundamentus!A:U,17,FALSE)&gt;0.1,"Bom retorno","n/a"))</f>
        <v>Bom retorno</v>
      </c>
      <c r="ES38" s="17" t="str">
        <f>IF(VLOOKUP(BP38,Fundamentus!A:U,16,FALSE)&lt;0.1,"Ineficiente",IF(VLOOKUP(BP38,Fundamentus!A:U,16,FALSE)&gt;0.1,"Eficiente","n/a"))</f>
        <v>Ineficiente</v>
      </c>
      <c r="ET38" s="33" t="str">
        <f>IF(VLOOKUP(BP38,Fundamentus!A:U,16,FALSE)&lt;0.1,"Oper. Ineficiente",IF(VLOOKUP(BP38,Fundamentus!A:U,16,FALSE)&gt;0.1,"Oper.Eficiente","n/a"))</f>
        <v>Oper. Ineficiente</v>
      </c>
      <c r="EU38" s="34">
        <f>VLOOKUP(BP38,Fundamentus!A:U,14,FALSE)</f>
        <v>0.34129999999999999</v>
      </c>
      <c r="EV38" s="17" t="str">
        <f>IF(VLOOKUP(BP38,Fundamentus!A:U,21,FALSE)&lt;0,"Negativo",IF(VLOOKUP(BP38,Fundamentus!A:U,21,FALSE)&lt;0.05,"Fraco",IF(VLOOKUP(BP38,Fundamentus!A:U,21,FALSE)&lt;0.1,"Bom",IF(VLOOKUP(BP38,Fundamentus!A:U,21,FALSE)&gt;0.1,"Muito bom","n/a"))))</f>
        <v>Bom</v>
      </c>
      <c r="EX38" s="29" t="str">
        <f>IF(VLOOKUP(BP38,Fundamentus!A:U,15,FALSE)&gt;1,"Bom",IF(VLOOKUP(BP38,Fundamentus!A:U,15,FALSE)&lt;1,"Ruim","n/a"))</f>
        <v>Bom</v>
      </c>
      <c r="EY38" s="17" t="str">
        <f>IF(VLOOKUP(BP38,Fundamentus!A:U,20,FALSE)&lt;0.5,"Baixa",IF(VLOOKUP(BP38,Fundamentus!A:U,20,FALSE)&lt;1,"Moderada",IF(VLOOKUP(BP38,Fundamentus!A:U,20,FALSE)&lt;2,"Alerta",IF(VLOOKUP(BP38,Fundamentus!A:U,20,FALSE)&gt;2,"Alta","n/a"))))</f>
        <v>Moderada</v>
      </c>
    </row>
    <row r="39" spans="1:155" s="2" customFormat="1" ht="11.25" x14ac:dyDescent="0.2">
      <c r="A39" s="4">
        <v>22.69</v>
      </c>
      <c r="B39" s="4">
        <v>22.15</v>
      </c>
      <c r="C39" s="4">
        <v>22.05</v>
      </c>
      <c r="D39" s="4">
        <v>22.1</v>
      </c>
      <c r="E39" s="4">
        <v>21.57</v>
      </c>
      <c r="F39" s="4">
        <v>21.04</v>
      </c>
      <c r="G39" s="4">
        <v>20.96</v>
      </c>
      <c r="H39" s="4">
        <v>20.93</v>
      </c>
      <c r="I39" s="4">
        <v>22.17</v>
      </c>
      <c r="J39" s="4">
        <v>22.48</v>
      </c>
      <c r="K39" s="4">
        <v>23.2</v>
      </c>
      <c r="L39" s="4">
        <v>22.59</v>
      </c>
      <c r="M39" s="4">
        <v>22.36</v>
      </c>
      <c r="N39" s="4">
        <v>22.75</v>
      </c>
      <c r="O39" s="4">
        <v>23.13</v>
      </c>
      <c r="P39" s="4">
        <v>22.7</v>
      </c>
      <c r="Q39" s="4">
        <v>23.55</v>
      </c>
      <c r="R39" s="4">
        <v>23.25</v>
      </c>
      <c r="S39" s="4">
        <v>23.01</v>
      </c>
      <c r="T39" s="4">
        <v>23.5</v>
      </c>
      <c r="U39" s="4">
        <v>22.65</v>
      </c>
      <c r="V39" s="4">
        <v>21.84</v>
      </c>
      <c r="W39" s="4">
        <v>21.55</v>
      </c>
      <c r="X39" s="4">
        <v>21.22</v>
      </c>
      <c r="Y39" s="4">
        <v>21.25</v>
      </c>
      <c r="Z39" s="4">
        <v>21.35</v>
      </c>
      <c r="AA39" s="4">
        <v>20.67</v>
      </c>
      <c r="AB39" s="4">
        <v>20.57</v>
      </c>
      <c r="AC39" s="4">
        <v>20.72</v>
      </c>
      <c r="AD39" s="4">
        <v>20.89</v>
      </c>
      <c r="AE39" s="4">
        <v>20.23</v>
      </c>
      <c r="AF39" s="4">
        <v>19.989999999999998</v>
      </c>
      <c r="AG39" s="4">
        <v>20.7</v>
      </c>
      <c r="AH39" s="4">
        <v>20.25</v>
      </c>
      <c r="AI39" s="4">
        <v>20.75</v>
      </c>
      <c r="AJ39" s="4">
        <v>18.989999999999998</v>
      </c>
      <c r="AK39" s="4">
        <v>19.04</v>
      </c>
      <c r="AL39" s="4">
        <v>19.55</v>
      </c>
      <c r="AM39" s="4">
        <v>19.55</v>
      </c>
      <c r="AN39" s="4">
        <v>20.170000000000002</v>
      </c>
      <c r="AO39" s="4">
        <v>20.96</v>
      </c>
      <c r="AP39" s="4">
        <v>20.23</v>
      </c>
      <c r="AQ39" s="4">
        <v>20.13</v>
      </c>
      <c r="AR39" s="4">
        <v>19.72</v>
      </c>
      <c r="AS39" s="4">
        <v>20.010000000000002</v>
      </c>
      <c r="AT39" s="4">
        <v>20.94</v>
      </c>
      <c r="AU39" s="4">
        <v>20.350000000000001</v>
      </c>
      <c r="AV39" s="4">
        <v>20.77</v>
      </c>
      <c r="AW39" s="4">
        <v>19.97</v>
      </c>
      <c r="AX39" s="4">
        <v>19.28</v>
      </c>
      <c r="AY39" s="12">
        <v>19.79</v>
      </c>
      <c r="AZ39" s="12">
        <v>21.37</v>
      </c>
      <c r="BA39" s="12">
        <v>21.7</v>
      </c>
      <c r="BB39" s="15">
        <v>21.49</v>
      </c>
      <c r="BC39" s="52">
        <v>21.68</v>
      </c>
      <c r="BD39" s="52">
        <v>21.41</v>
      </c>
      <c r="BE39" s="52">
        <v>20.95</v>
      </c>
      <c r="BF39" s="52">
        <v>21.44</v>
      </c>
      <c r="BG39" s="67">
        <v>21.06</v>
      </c>
      <c r="BH39" s="52">
        <v>21.36</v>
      </c>
      <c r="BI39" s="52">
        <v>22.2</v>
      </c>
      <c r="BJ39" s="52">
        <v>21.64</v>
      </c>
      <c r="BK39" s="52">
        <v>20.98</v>
      </c>
      <c r="BL39" s="52">
        <v>20.8</v>
      </c>
      <c r="BM39" s="52">
        <v>20.6</v>
      </c>
      <c r="BN39" s="52">
        <v>21.24</v>
      </c>
      <c r="BO39" s="52" cm="1">
        <f t="array" aca="1" ref="BO39" ca="1">_FV(EC39,"Preço")</f>
        <v>21.24</v>
      </c>
      <c r="BP39" s="69" t="s">
        <v>36</v>
      </c>
      <c r="BQ39" s="36" cm="1">
        <f t="array" aca="1" ref="BQ39" ca="1">_FV(EC39,"Média de volume",TRUE)</f>
        <v>549150</v>
      </c>
      <c r="BR39" s="36">
        <v>507700</v>
      </c>
      <c r="BS39" s="36" cm="1">
        <f t="array" aca="1" ref="BS39" ca="1">_FV(EC39,"Volume")</f>
        <v>507700</v>
      </c>
      <c r="BT39" s="24" cm="1">
        <f t="array" aca="1" ref="BT39" ca="1">_FV(EC39,"Beta")</f>
        <v>0.90690000000000004</v>
      </c>
      <c r="BU39" s="71" cm="1">
        <f t="array" aca="1" ref="BU39" ca="1">_FV(EC39,"Variação (%)",TRUE)</f>
        <v>-1.6211E-2</v>
      </c>
      <c r="BW39" s="17" cm="1">
        <f t="array" aca="1" ref="BW39" ca="1">_FV(EC39,"Baixo")</f>
        <v>21.1</v>
      </c>
      <c r="BX39" s="17" cm="1">
        <f t="array" aca="1" ref="BX39" ca="1">_FV(EC39,"Alto")</f>
        <v>21.93</v>
      </c>
      <c r="BY39" s="24"/>
      <c r="BZ39" s="63">
        <f ca="1">SQRT(22.5*(BO39/VLOOKUP(BP39,Fundamentus!A:U,3,FALSE))*(BO39/VLOOKUP(BP39,Fundamentus!A:U,4,FALSE)))</f>
        <v>49.613169707930552</v>
      </c>
      <c r="CB39" s="62">
        <f t="shared" ca="1" si="24"/>
        <v>0</v>
      </c>
      <c r="CC39" s="8"/>
      <c r="CD39" s="61">
        <f t="shared" si="25"/>
        <v>18.989999999999998</v>
      </c>
      <c r="CE39" s="61">
        <f t="shared" si="26"/>
        <v>23.55</v>
      </c>
      <c r="CF39" s="61">
        <f t="shared" si="27"/>
        <v>21.245151515151516</v>
      </c>
      <c r="CG39" s="14"/>
      <c r="CH39" s="35">
        <f t="shared" si="1"/>
        <v>20.326630108450743</v>
      </c>
      <c r="CI39" s="15">
        <f t="shared" si="28"/>
        <v>21.050000000000011</v>
      </c>
      <c r="CJ39" s="35">
        <f t="shared" si="2"/>
        <v>21.773369891549279</v>
      </c>
      <c r="CL39" s="14"/>
      <c r="CM39" s="17">
        <f t="shared" si="3"/>
        <v>14.41</v>
      </c>
      <c r="CN39" s="17">
        <f t="shared" si="4"/>
        <v>16.7</v>
      </c>
      <c r="CO39" s="17">
        <f t="shared" si="5"/>
        <v>18.970000000000002</v>
      </c>
      <c r="CP39" s="38">
        <f t="shared" si="29"/>
        <v>21.26</v>
      </c>
      <c r="CQ39" s="17">
        <f t="shared" si="6"/>
        <v>23.530000000000005</v>
      </c>
      <c r="CR39" s="17">
        <f t="shared" si="7"/>
        <v>25.820000000000004</v>
      </c>
      <c r="CS39" s="17">
        <f t="shared" si="8"/>
        <v>28.090000000000007</v>
      </c>
      <c r="CT39" s="2" cm="1">
        <f t="array" aca="1" ref="CT39" ca="1">MAX(_xlfn._xlws.FILTER(CM39:CS39,CM39:CS39&lt;BO39))</f>
        <v>18.970000000000002</v>
      </c>
      <c r="CU39" s="2" cm="1">
        <f t="array" aca="1" ref="CU39" ca="1">MIN(_xlfn._xlws.FILTER($CM39:$CS39,$CM39:$CS39&gt;BO39))</f>
        <v>21.26</v>
      </c>
      <c r="CV39" s="16">
        <f t="shared" ca="1" si="63"/>
        <v>0.12071692145492885</v>
      </c>
      <c r="CW39" s="20">
        <f t="shared" ca="1" si="64"/>
        <v>-6.0358460727464425E-2</v>
      </c>
      <c r="CX39" s="20">
        <f t="shared" ca="1" si="65"/>
        <v>-4.0238973818309619E-2</v>
      </c>
      <c r="CY39" s="20">
        <f t="shared" ca="1" si="66"/>
        <v>-2.4143384290985771E-2</v>
      </c>
      <c r="CZ39" s="20">
        <f t="shared" ca="1" si="67"/>
        <v>-1.3412991272769872E-2</v>
      </c>
      <c r="DA39" s="20">
        <f t="shared" ca="1" si="68"/>
        <v>-7.1009953797016969E-3</v>
      </c>
      <c r="DB39" s="20">
        <f t="shared" ca="1" si="69"/>
        <v>-3.6580885289372381E-3</v>
      </c>
      <c r="DC39" s="20">
        <f t="shared" ca="1" si="70"/>
        <v>-1.8571834069989054E-3</v>
      </c>
      <c r="DD39" s="21">
        <f t="shared" ca="1" si="71"/>
        <v>1.8571834069989054E-3</v>
      </c>
      <c r="DE39" s="21">
        <f t="shared" ca="1" si="72"/>
        <v>3.6580885289372381E-3</v>
      </c>
      <c r="DF39" s="21">
        <f t="shared" ca="1" si="73"/>
        <v>7.1009953797016969E-3</v>
      </c>
      <c r="DG39" s="21">
        <f t="shared" ca="1" si="74"/>
        <v>1.3412991272769872E-2</v>
      </c>
      <c r="DH39" s="21">
        <f t="shared" ca="1" si="75"/>
        <v>2.4143384290985771E-2</v>
      </c>
      <c r="DI39" s="21">
        <f t="shared" ca="1" si="76"/>
        <v>4.0238973818309619E-2</v>
      </c>
      <c r="DJ39" s="21">
        <f t="shared" ca="1" si="77"/>
        <v>6.0358460727464425E-2</v>
      </c>
      <c r="DL39" s="16" cm="1">
        <f t="array" aca="1" ref="DL39" ca="1">MAX(_xlfn._xlws.FILTER(CW39:DJ39,CW39:DJ39&lt;BU39))</f>
        <v>-2.4143384290985771E-2</v>
      </c>
      <c r="DM39" s="16" cm="1">
        <f t="array" aca="1" ref="DM39" ca="1">MIN(_xlfn._xlws.FILTER(CW39:DJ39,CW39:DJ39&gt;BU39))</f>
        <v>-1.3412991272769872E-2</v>
      </c>
      <c r="DN39" s="2" cm="1">
        <f t="array" aca="1" ref="DN39" ca="1">_FV(EC39,"Fechamento anterior",TRUE)</f>
        <v>21.59</v>
      </c>
      <c r="DO39" s="28">
        <f t="shared" ca="1" si="15"/>
        <v>0.73922505769490243</v>
      </c>
      <c r="DP39" s="15">
        <f t="shared" ca="1" si="78"/>
        <v>21.068744333157618</v>
      </c>
      <c r="DQ39" s="15">
        <f t="shared" ca="1" si="79"/>
        <v>21.3004135184209</v>
      </c>
      <c r="DR39" s="9"/>
      <c r="DS39" s="9"/>
      <c r="DT39" s="9"/>
      <c r="DU39" s="89">
        <v>4.0143329809580065E-3</v>
      </c>
      <c r="DV39" s="89">
        <f t="shared" ca="1" si="18"/>
        <v>1.0730393018215899E-2</v>
      </c>
      <c r="DW39" s="72">
        <f t="shared" ca="1" si="19"/>
        <v>0.26265953590224361</v>
      </c>
      <c r="DX39" s="37"/>
      <c r="DY39" s="35">
        <f t="shared" si="39"/>
        <v>0.36168494577463367</v>
      </c>
      <c r="DZ39" s="56"/>
      <c r="EA39" s="56"/>
      <c r="EC39" s="2" t="e" vm="39">
        <v>#VALUE!</v>
      </c>
      <c r="EE39" s="10" cm="1">
        <f t="array" aca="1" ref="EE39" ca="1">_FV(EC39,"Ações em circulação",TRUE)</f>
        <v>121695200</v>
      </c>
      <c r="EF39" s="18">
        <f>VLOOKUP(BP39,Fundamentus!A:U,5,FALSE)</f>
        <v>0</v>
      </c>
      <c r="EG39" s="2" t="e">
        <f t="shared" ca="1" si="20"/>
        <v>#DIV/0!</v>
      </c>
      <c r="EH39" s="17" t="e">
        <v>#DIV/0!</v>
      </c>
      <c r="EI39" s="17" t="e">
        <f t="shared" ca="1" si="21"/>
        <v>#DIV/0!</v>
      </c>
      <c r="EK39" s="16" t="e">
        <f t="shared" ca="1" si="22"/>
        <v>#DIV/0!</v>
      </c>
      <c r="EL39" s="32" t="str">
        <f>IF(VLOOKUP(BP39,Fundamentus!A:U,3,FALSE)&lt;15,"Bom",IF(VLOOKUP(BP39,Fundamentus!A:U,3,FALSE)&gt;15,"Ruim","n/a"))</f>
        <v>Bom</v>
      </c>
      <c r="EM39" s="28" t="str">
        <f>IF(VLOOKUP(BP39,Fundamentus!A:U,4,FALSE)&lt;1,"Baixo",IF(VLOOKUP(BP39,Fundamentus!A:U,4,FALSE)&lt;1.5,"Moderado",IF(VLOOKUP(BP39,Fundamentus!A:U,4,FALSE)&gt;1.5,"Alto","n/a")))</f>
        <v>Baixo</v>
      </c>
      <c r="EN39" s="17" t="str">
        <f>IF(VLOOKUP(BP39,Fundamentus!A:U,8,FALSE)&lt;0,"Risco elevado",IF(VLOOKUP(BP39,Fundamentus!A:U,8,FALSE)&lt;1,"Saudável",IF(VLOOKUP(BP39,Fundamentus!A:U,8,FALSE)&lt;3,"Estável",IF(VLOOKUP(BP39,Fundamentus!A:U,8,FALSE)&gt;3,"Alerta","n/a"))))</f>
        <v>Saudável</v>
      </c>
      <c r="EO39" s="28" t="str">
        <f t="shared" si="23"/>
        <v>Ruim</v>
      </c>
      <c r="EP39" s="17" t="str">
        <f>IF(VLOOKUP(BP39,Fundamentus!A:U,12,FALSE)&lt;2,"Subvalorizada",IF(VLOOKUP(BP39,Fundamentus!A:U,12,FALSE)&lt;6,"Muita barata",IF(VLOOKUP(BP39,Fundamentus!A:U,12,FALSE)&lt;6,"Barata",IF(VLOOKUP(BP39,Fundamentus!A:U,12,FALSE)&lt;8,"Atrativa",IF(VLOOKUP(BP39,Fundamentus!A:U,12,FALSE)&gt;8,"Supervalorizada","n/a")))))</f>
        <v>Subvalorizada</v>
      </c>
      <c r="ER39" s="17" t="str">
        <f>IF(VLOOKUP(BP39,Fundamentus!A:U,17,FALSE)&lt;0.1,"Fraco retorno",IF(VLOOKUP(BP39,Fundamentus!A:U,17,FALSE)&gt;0.1,"Bom retorno","n/a"))</f>
        <v>Bom retorno</v>
      </c>
      <c r="ES39" s="17" t="str">
        <f>IF(VLOOKUP(BP39,Fundamentus!A:U,16,FALSE)&lt;0.1,"Ineficiente",IF(VLOOKUP(BP39,Fundamentus!A:U,16,FALSE)&gt;0.1,"Eficiente","n/a"))</f>
        <v>Ineficiente</v>
      </c>
      <c r="ET39" s="33" t="str">
        <f>IF(VLOOKUP(BP39,Fundamentus!A:U,16,FALSE)&lt;0.1,"Oper. Ineficiente",IF(VLOOKUP(BP39,Fundamentus!A:U,16,FALSE)&gt;0.1,"Oper.Eficiente","n/a"))</f>
        <v>Oper. Ineficiente</v>
      </c>
      <c r="EU39" s="34">
        <f>VLOOKUP(BP39,Fundamentus!A:U,14,FALSE)</f>
        <v>0</v>
      </c>
      <c r="EV39" s="17" t="str">
        <f>IF(VLOOKUP(BP39,Fundamentus!A:U,21,FALSE)&lt;0,"Negativo",IF(VLOOKUP(BP39,Fundamentus!A:U,21,FALSE)&lt;0.05,"Fraco",IF(VLOOKUP(BP39,Fundamentus!A:U,21,FALSE)&lt;0.1,"Bom",IF(VLOOKUP(BP39,Fundamentus!A:U,21,FALSE)&gt;0.1,"Muito bom","n/a"))))</f>
        <v>Muito bom</v>
      </c>
      <c r="EX39" s="29" t="str">
        <f>IF(VLOOKUP(BP39,Fundamentus!A:U,15,FALSE)&gt;1,"Bom",IF(VLOOKUP(BP39,Fundamentus!A:U,15,FALSE)&lt;1,"Ruim","n/a"))</f>
        <v>Ruim</v>
      </c>
      <c r="EY39" s="17" t="str">
        <f>IF(VLOOKUP(BP39,Fundamentus!A:U,20,FALSE)&lt;0.5,"Baixa",IF(VLOOKUP(BP39,Fundamentus!A:U,20,FALSE)&lt;1,"Moderada",IF(VLOOKUP(BP39,Fundamentus!A:U,20,FALSE)&lt;2,"Alerta",IF(VLOOKUP(BP39,Fundamentus!A:U,20,FALSE)&gt;2,"Alta","n/a"))))</f>
        <v>Baixa</v>
      </c>
    </row>
    <row r="40" spans="1:155" s="2" customFormat="1" ht="11.25" x14ac:dyDescent="0.2">
      <c r="A40" s="4">
        <v>12.57</v>
      </c>
      <c r="B40" s="4">
        <v>11.19</v>
      </c>
      <c r="C40" s="4">
        <v>11.57</v>
      </c>
      <c r="D40" s="4">
        <v>11.17</v>
      </c>
      <c r="E40" s="4">
        <v>10.89</v>
      </c>
      <c r="F40" s="4">
        <v>10.98</v>
      </c>
      <c r="G40" s="4">
        <v>11</v>
      </c>
      <c r="H40" s="4">
        <v>10.99</v>
      </c>
      <c r="I40" s="4">
        <v>11.35</v>
      </c>
      <c r="J40" s="4">
        <v>11.53</v>
      </c>
      <c r="K40" s="4">
        <v>11.8</v>
      </c>
      <c r="L40" s="4">
        <v>11.7</v>
      </c>
      <c r="M40" s="4">
        <v>11.46</v>
      </c>
      <c r="N40" s="4">
        <v>11.2</v>
      </c>
      <c r="O40" s="4">
        <v>11.54</v>
      </c>
      <c r="P40" s="4">
        <v>12.22</v>
      </c>
      <c r="Q40" s="4">
        <v>12.59</v>
      </c>
      <c r="R40" s="4">
        <v>12.56</v>
      </c>
      <c r="S40" s="4">
        <v>12.67</v>
      </c>
      <c r="T40" s="4">
        <v>12.33</v>
      </c>
      <c r="U40" s="4">
        <v>11.73</v>
      </c>
      <c r="V40" s="4">
        <v>11.5</v>
      </c>
      <c r="W40" s="4">
        <v>11.31</v>
      </c>
      <c r="X40" s="4">
        <v>11.14</v>
      </c>
      <c r="Y40" s="4">
        <v>11.06</v>
      </c>
      <c r="Z40" s="4">
        <v>11.09</v>
      </c>
      <c r="AA40" s="4">
        <v>11.2</v>
      </c>
      <c r="AB40" s="4">
        <v>11.14</v>
      </c>
      <c r="AC40" s="4">
        <v>10.6</v>
      </c>
      <c r="AD40" s="4">
        <v>10.9</v>
      </c>
      <c r="AE40" s="4">
        <v>10.88</v>
      </c>
      <c r="AF40" s="4">
        <v>10.199999999999999</v>
      </c>
      <c r="AG40" s="4">
        <v>10.17</v>
      </c>
      <c r="AH40" s="4">
        <v>9.7100000000000009</v>
      </c>
      <c r="AI40" s="4">
        <v>9.99</v>
      </c>
      <c r="AJ40" s="4">
        <v>9.57</v>
      </c>
      <c r="AK40" s="4">
        <v>9.65</v>
      </c>
      <c r="AL40" s="4">
        <v>9.75</v>
      </c>
      <c r="AM40" s="4">
        <v>9.92</v>
      </c>
      <c r="AN40" s="4">
        <v>10.36</v>
      </c>
      <c r="AO40" s="4">
        <v>10.42</v>
      </c>
      <c r="AP40" s="4">
        <v>10.3</v>
      </c>
      <c r="AQ40" s="4">
        <v>10.67</v>
      </c>
      <c r="AR40" s="4">
        <v>10.8</v>
      </c>
      <c r="AS40" s="4">
        <v>11.1</v>
      </c>
      <c r="AT40" s="4">
        <v>11.17</v>
      </c>
      <c r="AU40" s="4">
        <v>11.115</v>
      </c>
      <c r="AV40" s="4">
        <v>10.94</v>
      </c>
      <c r="AW40" s="4">
        <v>10.76</v>
      </c>
      <c r="AX40" s="4">
        <v>10.48</v>
      </c>
      <c r="AY40" s="12">
        <v>10.66</v>
      </c>
      <c r="AZ40" s="12">
        <v>11.25</v>
      </c>
      <c r="BA40" s="12">
        <v>11.5</v>
      </c>
      <c r="BB40" s="15">
        <v>11.76</v>
      </c>
      <c r="BC40" s="52">
        <v>13</v>
      </c>
      <c r="BD40" s="52">
        <v>12.22</v>
      </c>
      <c r="BE40" s="52">
        <v>12.01</v>
      </c>
      <c r="BF40" s="52">
        <v>11.76</v>
      </c>
      <c r="BG40" s="67">
        <v>11.44</v>
      </c>
      <c r="BH40" s="52">
        <v>11.63</v>
      </c>
      <c r="BI40" s="52">
        <v>11.4</v>
      </c>
      <c r="BJ40" s="52">
        <v>11.67</v>
      </c>
      <c r="BK40" s="52">
        <v>11.18</v>
      </c>
      <c r="BL40" s="52">
        <v>10.61</v>
      </c>
      <c r="BM40" s="52">
        <v>10.97</v>
      </c>
      <c r="BN40" s="52">
        <v>10.78</v>
      </c>
      <c r="BO40" s="52" cm="1">
        <f t="array" aca="1" ref="BO40" ca="1">_FV(EC40,"Preço")</f>
        <v>10.78</v>
      </c>
      <c r="BP40" s="69" t="s">
        <v>37</v>
      </c>
      <c r="BQ40" s="36" cm="1">
        <f t="array" aca="1" ref="BQ40" ca="1">_FV(EC40,"Média de volume",TRUE)</f>
        <v>1150220</v>
      </c>
      <c r="BR40" s="36">
        <v>984700</v>
      </c>
      <c r="BS40" s="36" cm="1">
        <f t="array" aca="1" ref="BS40" ca="1">_FV(EC40,"Volume")</f>
        <v>984700</v>
      </c>
      <c r="BT40" s="24" cm="1">
        <f t="array" aca="1" ref="BT40" ca="1">_FV(EC40,"Beta")</f>
        <v>1.0801000000000001</v>
      </c>
      <c r="BU40" s="71" cm="1">
        <f t="array" aca="1" ref="BU40" ca="1">_FV(EC40,"Variação (%)",TRUE)</f>
        <v>-1.7319999999999999E-2</v>
      </c>
      <c r="BW40" s="17" cm="1">
        <f t="array" aca="1" ref="BW40" ca="1">_FV(EC40,"Baixo")</f>
        <v>10.74</v>
      </c>
      <c r="BX40" s="17" cm="1">
        <f t="array" aca="1" ref="BX40" ca="1">_FV(EC40,"Alto")</f>
        <v>11.08</v>
      </c>
      <c r="BY40" s="24"/>
      <c r="BZ40" s="63">
        <f ca="1">SQRT(22.5*(BO40/VLOOKUP(BP40,Fundamentus!A:U,3,FALSE))*(BO40/VLOOKUP(BP40,Fundamentus!A:U,4,FALSE)))</f>
        <v>36.397323553782151</v>
      </c>
      <c r="CB40" s="62">
        <f t="shared" ca="1" si="24"/>
        <v>0</v>
      </c>
      <c r="CC40" s="8"/>
      <c r="CD40" s="61">
        <f t="shared" si="25"/>
        <v>9.57</v>
      </c>
      <c r="CE40" s="61">
        <f t="shared" si="26"/>
        <v>13</v>
      </c>
      <c r="CF40" s="61">
        <f t="shared" si="27"/>
        <v>11.163257575757575</v>
      </c>
      <c r="CG40" s="14"/>
      <c r="CH40" s="35">
        <f t="shared" si="1"/>
        <v>9.9407629810477403</v>
      </c>
      <c r="CI40" s="15">
        <f t="shared" si="28"/>
        <v>10.675000000000068</v>
      </c>
      <c r="CJ40" s="35">
        <f t="shared" si="2"/>
        <v>11.409237018952396</v>
      </c>
      <c r="CL40" s="14"/>
      <c r="CM40" s="17">
        <f t="shared" si="3"/>
        <v>5.8033333333333346</v>
      </c>
      <c r="CN40" s="17">
        <f t="shared" si="4"/>
        <v>7.6866666666666674</v>
      </c>
      <c r="CO40" s="17">
        <f t="shared" si="5"/>
        <v>9.2333333333333343</v>
      </c>
      <c r="CP40" s="38">
        <f t="shared" si="29"/>
        <v>11.116666666666667</v>
      </c>
      <c r="CQ40" s="17">
        <f t="shared" si="6"/>
        <v>12.663333333333334</v>
      </c>
      <c r="CR40" s="17">
        <f t="shared" si="7"/>
        <v>14.546666666666667</v>
      </c>
      <c r="CS40" s="17">
        <f t="shared" si="8"/>
        <v>16.093333333333334</v>
      </c>
      <c r="CT40" s="2" cm="1">
        <f t="array" aca="1" ref="CT40" ca="1">MAX(_xlfn._xlws.FILTER(CM40:CS40,CM40:CS40&lt;BO40))</f>
        <v>9.2333333333333343</v>
      </c>
      <c r="CU40" s="2" cm="1">
        <f t="array" aca="1" ref="CU40" ca="1">MIN(_xlfn._xlws.FILTER($CM40:$CS40,$CM40:$CS40&gt;BO40))</f>
        <v>11.116666666666667</v>
      </c>
      <c r="CV40" s="16">
        <f t="shared" ca="1" si="63"/>
        <v>0.20397111913357402</v>
      </c>
      <c r="CW40" s="20">
        <f t="shared" ca="1" si="64"/>
        <v>-0.10198555956678701</v>
      </c>
      <c r="CX40" s="20">
        <f t="shared" ca="1" si="65"/>
        <v>-6.7990373044524668E-2</v>
      </c>
      <c r="CY40" s="20">
        <f t="shared" ca="1" si="66"/>
        <v>-4.0794223826714805E-2</v>
      </c>
      <c r="CZ40" s="20">
        <f t="shared" ca="1" si="67"/>
        <v>-2.2663457681508223E-2</v>
      </c>
      <c r="DA40" s="20">
        <f t="shared" ca="1" si="68"/>
        <v>-1.1998301125504355E-2</v>
      </c>
      <c r="DB40" s="20">
        <f t="shared" ca="1" si="69"/>
        <v>-6.1809430040476974E-3</v>
      </c>
      <c r="DC40" s="20">
        <f t="shared" ca="1" si="70"/>
        <v>-3.1380172174396005E-3</v>
      </c>
      <c r="DD40" s="21">
        <f t="shared" ca="1" si="71"/>
        <v>3.1380172174396005E-3</v>
      </c>
      <c r="DE40" s="21">
        <f t="shared" ca="1" si="72"/>
        <v>6.1809430040476974E-3</v>
      </c>
      <c r="DF40" s="21">
        <f t="shared" ca="1" si="73"/>
        <v>1.1998301125504355E-2</v>
      </c>
      <c r="DG40" s="21">
        <f t="shared" ca="1" si="74"/>
        <v>2.2663457681508223E-2</v>
      </c>
      <c r="DH40" s="21">
        <f t="shared" ca="1" si="75"/>
        <v>4.0794223826714805E-2</v>
      </c>
      <c r="DI40" s="21">
        <f t="shared" ca="1" si="76"/>
        <v>6.7990373044524668E-2</v>
      </c>
      <c r="DJ40" s="21">
        <f t="shared" ca="1" si="77"/>
        <v>0.10198555956678701</v>
      </c>
      <c r="DL40" s="16" cm="1">
        <f t="array" aca="1" ref="DL40" ca="1">MAX(_xlfn._xlws.FILTER(CW40:DJ40,CW40:DJ40&lt;BU40))</f>
        <v>-2.2663457681508223E-2</v>
      </c>
      <c r="DM40" s="16" cm="1">
        <f t="array" aca="1" ref="DM40" ca="1">MIN(_xlfn._xlws.FILTER(CW40:DJ40,CW40:DJ40&gt;BU40))</f>
        <v>-1.1998301125504355E-2</v>
      </c>
      <c r="DN40" s="2" cm="1">
        <f t="array" aca="1" ref="DN40" ca="1">_FV(EC40,"Fechamento anterior",TRUE)</f>
        <v>10.97</v>
      </c>
      <c r="DO40" s="28">
        <f t="shared" ca="1" si="15"/>
        <v>0.50102350739344315</v>
      </c>
      <c r="DP40" s="15">
        <f t="shared" ca="1" si="78"/>
        <v>10.721381869233856</v>
      </c>
      <c r="DQ40" s="15">
        <f t="shared" ca="1" si="79"/>
        <v>10.838378636653218</v>
      </c>
      <c r="DR40" s="9"/>
      <c r="DS40" s="9"/>
      <c r="DT40" s="9"/>
      <c r="DU40" s="89">
        <v>1.112257768604517E-2</v>
      </c>
      <c r="DV40" s="89">
        <f t="shared" ca="1" si="18"/>
        <v>1.0665156556003868E-2</v>
      </c>
      <c r="DW40" s="72">
        <f t="shared" ca="1" si="19"/>
        <v>0.14300559259427439</v>
      </c>
      <c r="DX40" s="37"/>
      <c r="DY40" s="35">
        <f t="shared" si="39"/>
        <v>0.36711850947616376</v>
      </c>
      <c r="DZ40" s="56"/>
      <c r="EA40" s="56"/>
      <c r="EC40" s="2" t="e" vm="40">
        <v>#VALUE!</v>
      </c>
      <c r="EE40" s="10" cm="1">
        <f t="array" aca="1" ref="EE40" ca="1">_FV(EC40,"Ações em circulação",TRUE)</f>
        <v>408974500</v>
      </c>
      <c r="EF40" s="18">
        <f>VLOOKUP(BP40,Fundamentus!A:U,5,FALSE)</f>
        <v>0</v>
      </c>
      <c r="EG40" s="2" t="e">
        <f t="shared" ca="1" si="20"/>
        <v>#DIV/0!</v>
      </c>
      <c r="EH40" s="17" t="e">
        <v>#DIV/0!</v>
      </c>
      <c r="EI40" s="17" t="e">
        <f t="shared" ca="1" si="21"/>
        <v>#DIV/0!</v>
      </c>
      <c r="EK40" s="16" t="e">
        <f t="shared" ca="1" si="22"/>
        <v>#DIV/0!</v>
      </c>
      <c r="EL40" s="32" t="str">
        <f>IF(VLOOKUP(BP40,Fundamentus!A:U,3,FALSE)&lt;15,"Bom",IF(VLOOKUP(BP40,Fundamentus!A:U,3,FALSE)&gt;15,"Ruim","n/a"))</f>
        <v>Bom</v>
      </c>
      <c r="EM40" s="28" t="str">
        <f>IF(VLOOKUP(BP40,Fundamentus!A:U,4,FALSE)&lt;1,"Baixo",IF(VLOOKUP(BP40,Fundamentus!A:U,4,FALSE)&lt;1.5,"Moderado",IF(VLOOKUP(BP40,Fundamentus!A:U,4,FALSE)&gt;1.5,"Alto","n/a")))</f>
        <v>Baixo</v>
      </c>
      <c r="EN40" s="17" t="str">
        <f>IF(VLOOKUP(BP40,Fundamentus!A:U,8,FALSE)&lt;0,"Risco elevado",IF(VLOOKUP(BP40,Fundamentus!A:U,8,FALSE)&lt;1,"Saudável",IF(VLOOKUP(BP40,Fundamentus!A:U,8,FALSE)&lt;3,"Estável",IF(VLOOKUP(BP40,Fundamentus!A:U,8,FALSE)&gt;3,"Alerta","n/a"))))</f>
        <v>Saudável</v>
      </c>
      <c r="EO40" s="28" t="str">
        <f t="shared" si="23"/>
        <v>Ruim</v>
      </c>
      <c r="EP40" s="17" t="str">
        <f>IF(VLOOKUP(BP40,Fundamentus!A:U,12,FALSE)&lt;2,"Subvalorizada",IF(VLOOKUP(BP40,Fundamentus!A:U,12,FALSE)&lt;6,"Muita barata",IF(VLOOKUP(BP40,Fundamentus!A:U,12,FALSE)&lt;6,"Barata",IF(VLOOKUP(BP40,Fundamentus!A:U,12,FALSE)&lt;8,"Atrativa",IF(VLOOKUP(BP40,Fundamentus!A:U,12,FALSE)&gt;8,"Supervalorizada","n/a")))))</f>
        <v>Subvalorizada</v>
      </c>
      <c r="ER40" s="17" t="str">
        <f>IF(VLOOKUP(BP40,Fundamentus!A:U,17,FALSE)&lt;0.1,"Fraco retorno",IF(VLOOKUP(BP40,Fundamentus!A:U,17,FALSE)&gt;0.1,"Bom retorno","n/a"))</f>
        <v>Fraco retorno</v>
      </c>
      <c r="ES40" s="17" t="str">
        <f>IF(VLOOKUP(BP40,Fundamentus!A:U,16,FALSE)&lt;0.1,"Ineficiente",IF(VLOOKUP(BP40,Fundamentus!A:U,16,FALSE)&gt;0.1,"Eficiente","n/a"))</f>
        <v>Ineficiente</v>
      </c>
      <c r="ET40" s="33" t="str">
        <f>IF(VLOOKUP(BP40,Fundamentus!A:U,16,FALSE)&lt;0.1,"Oper. Ineficiente",IF(VLOOKUP(BP40,Fundamentus!A:U,16,FALSE)&gt;0.1,"Oper.Eficiente","n/a"))</f>
        <v>Oper. Ineficiente</v>
      </c>
      <c r="EU40" s="34">
        <f>VLOOKUP(BP40,Fundamentus!A:U,14,FALSE)</f>
        <v>0</v>
      </c>
      <c r="EV40" s="17" t="str">
        <f>IF(VLOOKUP(BP40,Fundamentus!A:U,21,FALSE)&lt;0,"Negativo",IF(VLOOKUP(BP40,Fundamentus!A:U,21,FALSE)&lt;0.05,"Fraco",IF(VLOOKUP(BP40,Fundamentus!A:U,21,FALSE)&lt;0.1,"Bom",IF(VLOOKUP(BP40,Fundamentus!A:U,21,FALSE)&gt;0.1,"Muito bom","n/a"))))</f>
        <v>Fraco</v>
      </c>
      <c r="EX40" s="29" t="str">
        <f>IF(VLOOKUP(BP40,Fundamentus!A:U,15,FALSE)&gt;1,"Bom",IF(VLOOKUP(BP40,Fundamentus!A:U,15,FALSE)&lt;1,"Ruim","n/a"))</f>
        <v>Ruim</v>
      </c>
      <c r="EY40" s="17" t="str">
        <f>IF(VLOOKUP(BP40,Fundamentus!A:U,20,FALSE)&lt;0.5,"Baixa",IF(VLOOKUP(BP40,Fundamentus!A:U,20,FALSE)&lt;1,"Moderada",IF(VLOOKUP(BP40,Fundamentus!A:U,20,FALSE)&lt;2,"Alerta",IF(VLOOKUP(BP40,Fundamentus!A:U,20,FALSE)&gt;2,"Alta","n/a"))))</f>
        <v>Baixa</v>
      </c>
    </row>
    <row r="41" spans="1:155" s="2" customFormat="1" ht="11.25" x14ac:dyDescent="0.2">
      <c r="A41" s="4">
        <v>16.75</v>
      </c>
      <c r="B41" s="4">
        <v>16.41</v>
      </c>
      <c r="C41" s="4">
        <v>16.09</v>
      </c>
      <c r="D41" s="4">
        <v>15.85</v>
      </c>
      <c r="E41" s="4">
        <v>15.4</v>
      </c>
      <c r="F41" s="4">
        <v>15.06</v>
      </c>
      <c r="G41" s="4">
        <v>14.55</v>
      </c>
      <c r="H41" s="4">
        <v>14.63</v>
      </c>
      <c r="I41" s="4">
        <v>15.2</v>
      </c>
      <c r="J41" s="4">
        <v>15.56</v>
      </c>
      <c r="K41" s="4">
        <v>16.14</v>
      </c>
      <c r="L41" s="4">
        <v>15.81</v>
      </c>
      <c r="M41" s="4">
        <v>16.18</v>
      </c>
      <c r="N41" s="4">
        <v>16.12</v>
      </c>
      <c r="O41" s="4">
        <v>16.329999999999998</v>
      </c>
      <c r="P41" s="4">
        <v>16.7</v>
      </c>
      <c r="Q41" s="4">
        <v>17.3</v>
      </c>
      <c r="R41" s="4">
        <v>17.2</v>
      </c>
      <c r="S41" s="4">
        <v>16.7</v>
      </c>
      <c r="T41" s="4">
        <v>17</v>
      </c>
      <c r="U41" s="4">
        <v>16.95</v>
      </c>
      <c r="V41" s="4">
        <v>17.239999999999998</v>
      </c>
      <c r="W41" s="4">
        <v>16.7</v>
      </c>
      <c r="X41" s="4">
        <v>16.25</v>
      </c>
      <c r="Y41" s="4">
        <v>16.05</v>
      </c>
      <c r="Z41" s="4">
        <v>15.94</v>
      </c>
      <c r="AA41" s="4">
        <v>15.8</v>
      </c>
      <c r="AB41" s="4">
        <v>15.8</v>
      </c>
      <c r="AC41" s="4">
        <v>15.8</v>
      </c>
      <c r="AD41" s="4">
        <v>15.75</v>
      </c>
      <c r="AE41" s="4">
        <v>15.77</v>
      </c>
      <c r="AF41" s="4">
        <v>16.46</v>
      </c>
      <c r="AG41" s="4">
        <v>16.38</v>
      </c>
      <c r="AH41" s="4">
        <v>16.16</v>
      </c>
      <c r="AI41" s="4">
        <v>16.329999999999998</v>
      </c>
      <c r="AJ41" s="4">
        <v>16.48</v>
      </c>
      <c r="AK41" s="4">
        <v>16.32</v>
      </c>
      <c r="AL41" s="4">
        <v>16.489999999999998</v>
      </c>
      <c r="AM41" s="4">
        <v>16.760000000000002</v>
      </c>
      <c r="AN41" s="4">
        <v>16.97</v>
      </c>
      <c r="AO41" s="4">
        <v>16.7</v>
      </c>
      <c r="AP41" s="4">
        <v>16.88</v>
      </c>
      <c r="AQ41" s="4">
        <v>16.8</v>
      </c>
      <c r="AR41" s="4">
        <v>16.559999999999999</v>
      </c>
      <c r="AS41" s="4">
        <v>16.96</v>
      </c>
      <c r="AT41" s="4">
        <v>17.350000000000001</v>
      </c>
      <c r="AU41" s="4">
        <v>17.399999999999999</v>
      </c>
      <c r="AV41" s="4">
        <v>17.100000000000001</v>
      </c>
      <c r="AW41" s="4">
        <v>17.03</v>
      </c>
      <c r="AX41" s="4">
        <v>17.12</v>
      </c>
      <c r="AY41" s="12">
        <v>17.100000000000001</v>
      </c>
      <c r="AZ41" s="12">
        <v>17.190000000000001</v>
      </c>
      <c r="BA41" s="12">
        <v>17.13</v>
      </c>
      <c r="BB41" s="15">
        <v>17.440000000000001</v>
      </c>
      <c r="BC41" s="52">
        <v>17.309999999999999</v>
      </c>
      <c r="BD41" s="52">
        <v>17.489999999999998</v>
      </c>
      <c r="BE41" s="52">
        <v>17.37</v>
      </c>
      <c r="BF41" s="52">
        <v>17.37</v>
      </c>
      <c r="BG41" s="67">
        <v>17.440000000000001</v>
      </c>
      <c r="BH41" s="52">
        <v>17.5</v>
      </c>
      <c r="BI41" s="52">
        <v>17.45</v>
      </c>
      <c r="BJ41" s="52">
        <v>17.5</v>
      </c>
      <c r="BK41" s="52">
        <v>17.5</v>
      </c>
      <c r="BL41" s="52">
        <v>17.53</v>
      </c>
      <c r="BM41" s="52">
        <v>17.559999999999999</v>
      </c>
      <c r="BN41" s="52">
        <v>17.71</v>
      </c>
      <c r="BO41" s="52" cm="1">
        <f t="array" aca="1" ref="BO41" ca="1">_FV(EC41,"Preço")</f>
        <v>17.71</v>
      </c>
      <c r="BP41" s="69" t="s">
        <v>38</v>
      </c>
      <c r="BQ41" s="36" cm="1">
        <f t="array" aca="1" ref="BQ41" ca="1">_FV(EC41,"Média de volume",TRUE)</f>
        <v>708310</v>
      </c>
      <c r="BR41" s="36">
        <v>760600</v>
      </c>
      <c r="BS41" s="36" cm="1">
        <f t="array" aca="1" ref="BS41" ca="1">_FV(EC41,"Volume")</f>
        <v>760600</v>
      </c>
      <c r="BT41" s="24" cm="1">
        <f t="array" aca="1" ref="BT41" ca="1">_FV(EC41,"Beta")</f>
        <v>1.0586</v>
      </c>
      <c r="BU41" s="71" cm="1">
        <f t="array" aca="1" ref="BU41" ca="1">_FV(EC41,"Variação (%)",TRUE)</f>
        <v>5.6499999999999996E-4</v>
      </c>
      <c r="BW41" s="17" cm="1">
        <f t="array" aca="1" ref="BW41" ca="1">_FV(EC41,"Baixo")</f>
        <v>17.649999999999999</v>
      </c>
      <c r="BX41" s="17" cm="1">
        <f t="array" aca="1" ref="BX41" ca="1">_FV(EC41,"Alto")</f>
        <v>17.72</v>
      </c>
      <c r="BY41" s="24"/>
      <c r="BZ41" s="63">
        <f ca="1">SQRT(22.5*(BO41/VLOOKUP(BP41,Fundamentus!A:U,3,FALSE))*(BO41/VLOOKUP(BP41,Fundamentus!A:U,4,FALSE)))</f>
        <v>13.5021435923661</v>
      </c>
      <c r="CB41" s="62">
        <f t="shared" ca="1" si="24"/>
        <v>0</v>
      </c>
      <c r="CC41" s="8"/>
      <c r="CD41" s="61">
        <f t="shared" si="25"/>
        <v>14.55</v>
      </c>
      <c r="CE41" s="61">
        <f t="shared" si="26"/>
        <v>17.71</v>
      </c>
      <c r="CF41" s="61">
        <f t="shared" si="27"/>
        <v>16.60409090909091</v>
      </c>
      <c r="CG41" s="14"/>
      <c r="CH41" s="35">
        <f t="shared" si="1"/>
        <v>17.58353914227509</v>
      </c>
      <c r="CI41" s="15">
        <f t="shared" si="28"/>
        <v>17.739999999999952</v>
      </c>
      <c r="CJ41" s="35">
        <f t="shared" si="2"/>
        <v>17.896460857724815</v>
      </c>
      <c r="CL41" s="14"/>
      <c r="CM41" s="17">
        <f t="shared" si="3"/>
        <v>12.443333333333339</v>
      </c>
      <c r="CN41" s="17">
        <f t="shared" si="4"/>
        <v>13.49666666666667</v>
      </c>
      <c r="CO41" s="17">
        <f t="shared" si="5"/>
        <v>15.603333333333339</v>
      </c>
      <c r="CP41" s="38">
        <f t="shared" si="29"/>
        <v>16.65666666666667</v>
      </c>
      <c r="CQ41" s="17">
        <f t="shared" si="6"/>
        <v>18.763333333333339</v>
      </c>
      <c r="CR41" s="17">
        <f t="shared" si="7"/>
        <v>19.81666666666667</v>
      </c>
      <c r="CS41" s="17">
        <f t="shared" si="8"/>
        <v>21.923333333333339</v>
      </c>
      <c r="CT41" s="2" cm="1">
        <f t="array" aca="1" ref="CT41" ca="1">MAX(_xlfn._xlws.FILTER(CM41:CS41,CM41:CS41&lt;BO41))</f>
        <v>16.65666666666667</v>
      </c>
      <c r="CU41" s="2" cm="1">
        <f t="array" aca="1" ref="CU41" ca="1">MIN(_xlfn._xlws.FILTER($CM41:$CS41,$CM41:$CS41&gt;BO41))</f>
        <v>18.763333333333339</v>
      </c>
      <c r="CV41" s="16">
        <f t="shared" ca="1" si="63"/>
        <v>0.12647588553131883</v>
      </c>
      <c r="CW41" s="20">
        <f t="shared" ca="1" si="64"/>
        <v>-6.3237942765659416E-2</v>
      </c>
      <c r="CX41" s="20">
        <f t="shared" ca="1" si="65"/>
        <v>-4.2158628510439611E-2</v>
      </c>
      <c r="CY41" s="20">
        <f t="shared" ca="1" si="66"/>
        <v>-2.5295177106263767E-2</v>
      </c>
      <c r="CZ41" s="20">
        <f t="shared" ca="1" si="67"/>
        <v>-1.4052876170146536E-2</v>
      </c>
      <c r="DA41" s="20">
        <f t="shared" ca="1" si="68"/>
        <v>-7.4397579724305198E-3</v>
      </c>
      <c r="DB41" s="20">
        <f t="shared" ca="1" si="69"/>
        <v>-3.8326025918581463E-3</v>
      </c>
      <c r="DC41" s="20">
        <f t="shared" ca="1" si="70"/>
        <v>-1.9457828543279821E-3</v>
      </c>
      <c r="DD41" s="21">
        <f t="shared" ca="1" si="71"/>
        <v>1.9457828543279821E-3</v>
      </c>
      <c r="DE41" s="21">
        <f t="shared" ca="1" si="72"/>
        <v>3.8326025918581463E-3</v>
      </c>
      <c r="DF41" s="21">
        <f t="shared" ca="1" si="73"/>
        <v>7.4397579724305198E-3</v>
      </c>
      <c r="DG41" s="21">
        <f t="shared" ca="1" si="74"/>
        <v>1.4052876170146536E-2</v>
      </c>
      <c r="DH41" s="21">
        <f t="shared" ca="1" si="75"/>
        <v>2.5295177106263767E-2</v>
      </c>
      <c r="DI41" s="21">
        <f t="shared" ca="1" si="76"/>
        <v>4.2158628510439611E-2</v>
      </c>
      <c r="DJ41" s="21">
        <f t="shared" ca="1" si="77"/>
        <v>6.3237942765659416E-2</v>
      </c>
      <c r="DL41" s="16" cm="1">
        <f t="array" aca="1" ref="DL41" ca="1">MAX(_xlfn._xlws.FILTER(CW41:DJ41,CW41:DJ41&lt;BU41))</f>
        <v>-1.9457828543279821E-3</v>
      </c>
      <c r="DM41" s="16" cm="1">
        <f t="array" aca="1" ref="DM41" ca="1">MIN(_xlfn._xlws.FILTER(CW41:DJ41,CW41:DJ41&gt;BU41))</f>
        <v>1.9457828543279821E-3</v>
      </c>
      <c r="DN41" s="2" cm="1">
        <f t="array" aca="1" ref="DN41" ca="1">_FV(EC41,"Fechamento anterior",TRUE)</f>
        <v>17.7</v>
      </c>
      <c r="DO41" s="28">
        <f t="shared" ca="1" si="15"/>
        <v>0.64517852034615031</v>
      </c>
      <c r="DP41" s="15">
        <f t="shared" ca="1" si="78"/>
        <v>17.665559643478392</v>
      </c>
      <c r="DQ41" s="15">
        <f t="shared" ca="1" si="79"/>
        <v>17.734440356521606</v>
      </c>
      <c r="DR41" s="9"/>
      <c r="DS41" s="9"/>
      <c r="DT41" s="9"/>
      <c r="DU41" s="89">
        <v>1.8001874569159009E-3</v>
      </c>
      <c r="DV41" s="89">
        <f t="shared" ca="1" si="18"/>
        <v>3.8915657086559642E-3</v>
      </c>
      <c r="DW41" s="72">
        <f t="shared" ca="1" si="19"/>
        <v>-0.19174124721153302</v>
      </c>
      <c r="DX41" s="37"/>
      <c r="DY41" s="35">
        <f t="shared" si="39"/>
        <v>7.8230428862432019E-2</v>
      </c>
      <c r="DZ41" s="56"/>
      <c r="EA41" s="56"/>
      <c r="EC41" s="2" t="e" vm="41">
        <v>#VALUE!</v>
      </c>
      <c r="EE41" s="10" cm="1">
        <f t="array" aca="1" ref="EE41" ca="1">_FV(EC41,"Ações em circulação",TRUE)</f>
        <v>440977900</v>
      </c>
      <c r="EF41" s="18">
        <f>VLOOKUP(BP41,Fundamentus!A:U,5,FALSE)</f>
        <v>2.5529999999999999</v>
      </c>
      <c r="EG41" s="2">
        <f t="shared" ca="1" si="20"/>
        <v>3059035882.8828831</v>
      </c>
      <c r="EH41" s="17">
        <v>579381396.21801805</v>
      </c>
      <c r="EI41" s="17">
        <f t="shared" ca="1" si="21"/>
        <v>579381396.21801805</v>
      </c>
      <c r="EK41" s="16">
        <f t="shared" ca="1" si="22"/>
        <v>0</v>
      </c>
      <c r="EL41" s="32" t="str">
        <f>IF(VLOOKUP(BP41,Fundamentus!A:U,3,FALSE)&lt;15,"Bom",IF(VLOOKUP(BP41,Fundamentus!A:U,3,FALSE)&gt;15,"Ruim","n/a"))</f>
        <v>Bom</v>
      </c>
      <c r="EM41" s="28" t="str">
        <f>IF(VLOOKUP(BP41,Fundamentus!A:U,4,FALSE)&lt;1,"Baixo",IF(VLOOKUP(BP41,Fundamentus!A:U,4,FALSE)&lt;1.5,"Moderado",IF(VLOOKUP(BP41,Fundamentus!A:U,4,FALSE)&gt;1.5,"Alto","n/a")))</f>
        <v>Alto</v>
      </c>
      <c r="EN41" s="17" t="str">
        <f>IF(VLOOKUP(BP41,Fundamentus!A:U,8,FALSE)&lt;0,"Risco elevado",IF(VLOOKUP(BP41,Fundamentus!A:U,8,FALSE)&lt;1,"Saudável",IF(VLOOKUP(BP41,Fundamentus!A:U,8,FALSE)&lt;3,"Estável",IF(VLOOKUP(BP41,Fundamentus!A:U,8,FALSE)&gt;3,"Alerta","n/a"))))</f>
        <v>Alerta</v>
      </c>
      <c r="EO41" s="28" t="str">
        <f t="shared" si="23"/>
        <v>Bom</v>
      </c>
      <c r="EP41" s="17" t="str">
        <f>IF(VLOOKUP(BP41,Fundamentus!A:U,12,FALSE)&lt;2,"Subvalorizada",IF(VLOOKUP(BP41,Fundamentus!A:U,12,FALSE)&lt;6,"Muita barata",IF(VLOOKUP(BP41,Fundamentus!A:U,12,FALSE)&lt;6,"Barata",IF(VLOOKUP(BP41,Fundamentus!A:U,12,FALSE)&lt;8,"Atrativa",IF(VLOOKUP(BP41,Fundamentus!A:U,12,FALSE)&gt;8,"Supervalorizada","n/a")))))</f>
        <v>Atrativa</v>
      </c>
      <c r="ER41" s="17" t="str">
        <f>IF(VLOOKUP(BP41,Fundamentus!A:U,17,FALSE)&lt;0.1,"Fraco retorno",IF(VLOOKUP(BP41,Fundamentus!A:U,17,FALSE)&gt;0.1,"Bom retorno","n/a"))</f>
        <v>Bom retorno</v>
      </c>
      <c r="ES41" s="17" t="str">
        <f>IF(VLOOKUP(BP41,Fundamentus!A:U,16,FALSE)&lt;0.1,"Ineficiente",IF(VLOOKUP(BP41,Fundamentus!A:U,16,FALSE)&gt;0.1,"Eficiente","n/a"))</f>
        <v>Eficiente</v>
      </c>
      <c r="ET41" s="33" t="str">
        <f>IF(VLOOKUP(BP41,Fundamentus!A:U,16,FALSE)&lt;0.1,"Oper. Ineficiente",IF(VLOOKUP(BP41,Fundamentus!A:U,16,FALSE)&gt;0.1,"Oper.Eficiente","n/a"))</f>
        <v>Oper.Eficiente</v>
      </c>
      <c r="EU41" s="34">
        <f>VLOOKUP(BP41,Fundamentus!A:U,14,FALSE)</f>
        <v>0.18940000000000001</v>
      </c>
      <c r="EV41" s="17" t="str">
        <f>IF(VLOOKUP(BP41,Fundamentus!A:U,21,FALSE)&lt;0,"Negativo",IF(VLOOKUP(BP41,Fundamentus!A:U,21,FALSE)&lt;0.05,"Fraco",IF(VLOOKUP(BP41,Fundamentus!A:U,21,FALSE)&lt;0.1,"Bom",IF(VLOOKUP(BP41,Fundamentus!A:U,21,FALSE)&gt;0.1,"Muito bom","n/a"))))</f>
        <v>Fraco</v>
      </c>
      <c r="EX41" s="29" t="str">
        <f>IF(VLOOKUP(BP41,Fundamentus!A:U,15,FALSE)&gt;1,"Bom",IF(VLOOKUP(BP41,Fundamentus!A:U,15,FALSE)&lt;1,"Ruim","n/a"))</f>
        <v>Bom</v>
      </c>
      <c r="EY41" s="17" t="str">
        <f>IF(VLOOKUP(BP41,Fundamentus!A:U,20,FALSE)&lt;0.5,"Baixa",IF(VLOOKUP(BP41,Fundamentus!A:U,20,FALSE)&lt;1,"Moderada",IF(VLOOKUP(BP41,Fundamentus!A:U,20,FALSE)&lt;2,"Alerta",IF(VLOOKUP(BP41,Fundamentus!A:U,20,FALSE)&gt;2,"Alta","n/a"))))</f>
        <v>Moderada</v>
      </c>
    </row>
    <row r="42" spans="1:155" s="2" customFormat="1" ht="11.25" x14ac:dyDescent="0.2">
      <c r="A42" s="4">
        <v>4.68</v>
      </c>
      <c r="B42" s="4">
        <v>4.54</v>
      </c>
      <c r="C42" s="4">
        <v>4.57</v>
      </c>
      <c r="D42" s="4">
        <v>4.4800000000000004</v>
      </c>
      <c r="E42" s="4">
        <v>4.25</v>
      </c>
      <c r="F42" s="4">
        <v>4.18</v>
      </c>
      <c r="G42" s="4">
        <v>4.05</v>
      </c>
      <c r="H42" s="4">
        <v>4.13</v>
      </c>
      <c r="I42" s="4">
        <v>4.1399999999999997</v>
      </c>
      <c r="J42" s="4">
        <v>4.46</v>
      </c>
      <c r="K42" s="4">
        <v>4.32</v>
      </c>
      <c r="L42" s="4">
        <v>4.2300000000000004</v>
      </c>
      <c r="M42" s="4">
        <v>4.17</v>
      </c>
      <c r="N42" s="4">
        <v>4.21</v>
      </c>
      <c r="O42" s="4">
        <v>4.3</v>
      </c>
      <c r="P42" s="4">
        <v>4.51</v>
      </c>
      <c r="Q42" s="4">
        <v>4.99</v>
      </c>
      <c r="R42" s="4">
        <v>4.8600000000000003</v>
      </c>
      <c r="S42" s="4">
        <v>4.82</v>
      </c>
      <c r="T42" s="4">
        <v>4.84</v>
      </c>
      <c r="U42" s="4">
        <v>4.9400000000000004</v>
      </c>
      <c r="V42" s="4">
        <v>4.74</v>
      </c>
      <c r="W42" s="4">
        <v>4.97</v>
      </c>
      <c r="X42" s="4">
        <v>4.88</v>
      </c>
      <c r="Y42" s="4">
        <v>4.7</v>
      </c>
      <c r="Z42" s="4">
        <v>4.68</v>
      </c>
      <c r="AA42" s="4">
        <v>4.5199999999999996</v>
      </c>
      <c r="AB42" s="4">
        <v>4.5999999999999996</v>
      </c>
      <c r="AC42" s="4">
        <v>4.47</v>
      </c>
      <c r="AD42" s="4">
        <v>4.5599999999999996</v>
      </c>
      <c r="AE42" s="4">
        <v>4.54</v>
      </c>
      <c r="AF42" s="4">
        <v>4.53</v>
      </c>
      <c r="AG42" s="4">
        <v>4.3499999999999996</v>
      </c>
      <c r="AH42" s="4">
        <v>4.05</v>
      </c>
      <c r="AI42" s="4">
        <v>4.3499999999999996</v>
      </c>
      <c r="AJ42" s="4">
        <v>4.34</v>
      </c>
      <c r="AK42" s="4">
        <v>4.25</v>
      </c>
      <c r="AL42" s="4">
        <v>4.4000000000000004</v>
      </c>
      <c r="AM42" s="4">
        <v>4.38</v>
      </c>
      <c r="AN42" s="4">
        <v>4.45</v>
      </c>
      <c r="AO42" s="4">
        <v>4.38</v>
      </c>
      <c r="AP42" s="4">
        <v>4.3899999999999997</v>
      </c>
      <c r="AQ42" s="4">
        <v>4.25</v>
      </c>
      <c r="AR42" s="4">
        <v>4.3600000000000003</v>
      </c>
      <c r="AS42" s="4">
        <v>4.47</v>
      </c>
      <c r="AT42" s="4">
        <v>4.4800000000000004</v>
      </c>
      <c r="AU42" s="4">
        <v>4.46</v>
      </c>
      <c r="AV42" s="4">
        <v>4.4400000000000004</v>
      </c>
      <c r="AW42" s="4">
        <v>4.3099999999999996</v>
      </c>
      <c r="AX42" s="4">
        <v>4.33</v>
      </c>
      <c r="AY42" s="12">
        <v>4.3</v>
      </c>
      <c r="AZ42" s="12">
        <v>4.51</v>
      </c>
      <c r="BA42" s="12">
        <v>4.8</v>
      </c>
      <c r="BB42" s="15">
        <v>4.95</v>
      </c>
      <c r="BC42" s="52">
        <v>5.3</v>
      </c>
      <c r="BD42" s="52">
        <v>5.3</v>
      </c>
      <c r="BE42" s="52">
        <v>5.3</v>
      </c>
      <c r="BF42" s="52">
        <v>5.18</v>
      </c>
      <c r="BG42" s="67">
        <v>5.68</v>
      </c>
      <c r="BH42" s="52">
        <v>6</v>
      </c>
      <c r="BI42" s="52">
        <v>5.86</v>
      </c>
      <c r="BJ42" s="52">
        <v>5.9</v>
      </c>
      <c r="BK42" s="52">
        <v>6.07</v>
      </c>
      <c r="BL42" s="52">
        <v>5.74</v>
      </c>
      <c r="BM42" s="52">
        <v>5.96</v>
      </c>
      <c r="BN42" s="52">
        <v>5.87</v>
      </c>
      <c r="BO42" s="52" cm="1">
        <f t="array" aca="1" ref="BO42" ca="1">_FV(EC42,"Preço")</f>
        <v>5.87</v>
      </c>
      <c r="BP42" s="69" t="s">
        <v>39</v>
      </c>
      <c r="BQ42" s="36" cm="1">
        <f t="array" aca="1" ref="BQ42" ca="1">_FV(EC42,"Média de volume",TRUE)</f>
        <v>281670</v>
      </c>
      <c r="BR42" s="36">
        <v>171400</v>
      </c>
      <c r="BS42" s="36" cm="1">
        <f t="array" aca="1" ref="BS42" ca="1">_FV(EC42,"Volume")</f>
        <v>171400</v>
      </c>
      <c r="BT42" s="24" cm="1">
        <f t="array" aca="1" ref="BT42" ca="1">_FV(EC42,"Beta")</f>
        <v>1.2323999999999999</v>
      </c>
      <c r="BU42" s="71" cm="1">
        <f t="array" aca="1" ref="BU42" ca="1">_FV(EC42,"Variação (%)",TRUE)</f>
        <v>-2.9752000000000001E-2</v>
      </c>
      <c r="BW42" s="17" cm="1">
        <f t="array" aca="1" ref="BW42" ca="1">_FV(EC42,"Baixo")</f>
        <v>5.87</v>
      </c>
      <c r="BX42" s="17" cm="1">
        <f t="array" aca="1" ref="BX42" ca="1">_FV(EC42,"Alto")</f>
        <v>6.06</v>
      </c>
      <c r="BY42" s="24"/>
      <c r="BZ42" s="63">
        <f ca="1">SQRT(22.5*(BO42/VLOOKUP(BP42,Fundamentus!A:U,3,FALSE))*(BO42/VLOOKUP(BP42,Fundamentus!A:U,4,FALSE)))</f>
        <v>11.520882761289766</v>
      </c>
      <c r="CB42" s="62">
        <f t="shared" ca="1" si="24"/>
        <v>0</v>
      </c>
      <c r="CC42" s="8"/>
      <c r="CD42" s="61">
        <f t="shared" si="25"/>
        <v>4.05</v>
      </c>
      <c r="CE42" s="61">
        <f t="shared" si="26"/>
        <v>6.07</v>
      </c>
      <c r="CF42" s="61">
        <f t="shared" si="27"/>
        <v>4.6972727272727282</v>
      </c>
      <c r="CG42" s="14"/>
      <c r="CH42" s="35">
        <f t="shared" si="1"/>
        <v>5.5983343589767847</v>
      </c>
      <c r="CI42" s="15">
        <f t="shared" si="28"/>
        <v>5.8149999999999977</v>
      </c>
      <c r="CJ42" s="35">
        <f t="shared" si="2"/>
        <v>6.0316656410232108</v>
      </c>
      <c r="CL42" s="14"/>
      <c r="CM42" s="17">
        <f t="shared" si="3"/>
        <v>2.5700000000000012</v>
      </c>
      <c r="CN42" s="17">
        <f t="shared" si="4"/>
        <v>3.3100000000000005</v>
      </c>
      <c r="CO42" s="17">
        <f t="shared" si="5"/>
        <v>4.5900000000000016</v>
      </c>
      <c r="CP42" s="38">
        <f t="shared" si="29"/>
        <v>5.330000000000001</v>
      </c>
      <c r="CQ42" s="17">
        <f t="shared" si="6"/>
        <v>6.6100000000000021</v>
      </c>
      <c r="CR42" s="17">
        <f t="shared" si="7"/>
        <v>7.3500000000000014</v>
      </c>
      <c r="CS42" s="17">
        <f t="shared" si="8"/>
        <v>8.6300000000000026</v>
      </c>
      <c r="CT42" s="2" cm="1">
        <f t="array" aca="1" ref="CT42" ca="1">MAX(_xlfn._xlws.FILTER(CM42:CS42,CM42:CS42&lt;BO42))</f>
        <v>5.330000000000001</v>
      </c>
      <c r="CU42" s="2" cm="1">
        <f t="array" aca="1" ref="CU42" ca="1">MIN(_xlfn._xlws.FILTER($CM42:$CS42,$CM42:$CS42&gt;BO42))</f>
        <v>6.6100000000000021</v>
      </c>
      <c r="CV42" s="16">
        <f t="shared" ca="1" si="63"/>
        <v>0.2401500938086305</v>
      </c>
      <c r="CW42" s="20">
        <f t="shared" ca="1" si="64"/>
        <v>-0.12007504690431525</v>
      </c>
      <c r="CX42" s="20">
        <f t="shared" ca="1" si="65"/>
        <v>-8.0050031269543506E-2</v>
      </c>
      <c r="CY42" s="20">
        <f t="shared" ca="1" si="66"/>
        <v>-4.80300187617261E-2</v>
      </c>
      <c r="CZ42" s="20">
        <f t="shared" ca="1" si="67"/>
        <v>-2.6683343756514502E-2</v>
      </c>
      <c r="DA42" s="20">
        <f t="shared" ca="1" si="68"/>
        <v>-1.4126476106390029E-2</v>
      </c>
      <c r="DB42" s="20">
        <f t="shared" ca="1" si="69"/>
        <v>-7.2772755699585003E-3</v>
      </c>
      <c r="DC42" s="20">
        <f t="shared" ca="1" si="70"/>
        <v>-3.6946168278250845E-3</v>
      </c>
      <c r="DD42" s="21">
        <f t="shared" ca="1" si="71"/>
        <v>3.6946168278250845E-3</v>
      </c>
      <c r="DE42" s="21">
        <f t="shared" ca="1" si="72"/>
        <v>7.2772755699585003E-3</v>
      </c>
      <c r="DF42" s="21">
        <f t="shared" ca="1" si="73"/>
        <v>1.4126476106390029E-2</v>
      </c>
      <c r="DG42" s="21">
        <f t="shared" ca="1" si="74"/>
        <v>2.6683343756514502E-2</v>
      </c>
      <c r="DH42" s="21">
        <f t="shared" ca="1" si="75"/>
        <v>4.80300187617261E-2</v>
      </c>
      <c r="DI42" s="21">
        <f t="shared" ca="1" si="76"/>
        <v>8.0050031269543506E-2</v>
      </c>
      <c r="DJ42" s="21">
        <f t="shared" ca="1" si="77"/>
        <v>0.12007504690431525</v>
      </c>
      <c r="DL42" s="16" cm="1">
        <f t="array" aca="1" ref="DL42" ca="1">MAX(_xlfn._xlws.FILTER(CW42:DJ42,CW42:DJ42&lt;BU42))</f>
        <v>-4.80300187617261E-2</v>
      </c>
      <c r="DM42" s="16" cm="1">
        <f t="array" aca="1" ref="DM42" ca="1">MIN(_xlfn._xlws.FILTER(CW42:DJ42,CW42:DJ42&gt;BU42))</f>
        <v>-2.6683343756514502E-2</v>
      </c>
      <c r="DN42" s="2" cm="1">
        <f t="array" aca="1" ref="DN42" ca="1">_FV(EC42,"Fechamento anterior",TRUE)</f>
        <v>6.05</v>
      </c>
      <c r="DO42" s="28">
        <f t="shared" ca="1" si="15"/>
        <v>0.85624354338843356</v>
      </c>
      <c r="DP42" s="15">
        <f t="shared" ca="1" si="78"/>
        <v>5.7594183864915571</v>
      </c>
      <c r="DQ42" s="15">
        <f t="shared" ca="1" si="79"/>
        <v>5.8885657702730869</v>
      </c>
      <c r="DR42" s="9"/>
      <c r="DS42" s="9"/>
      <c r="DT42" s="9"/>
      <c r="DU42" s="89">
        <v>2.0793050301247024E-2</v>
      </c>
      <c r="DV42" s="89">
        <f t="shared" ca="1" si="18"/>
        <v>2.1346675005211597E-2</v>
      </c>
      <c r="DW42" s="72">
        <f t="shared" ca="1" si="19"/>
        <v>0.25384735549329579</v>
      </c>
      <c r="DX42" s="37"/>
      <c r="DY42" s="35">
        <f t="shared" si="39"/>
        <v>0.10833282051160673</v>
      </c>
      <c r="DZ42" s="56"/>
      <c r="EA42" s="56"/>
      <c r="EC42" s="2" t="e" vm="42">
        <v>#VALUE!</v>
      </c>
      <c r="EE42" s="10" cm="1">
        <f t="array" aca="1" ref="EE42" ca="1">_FV(EC42,"Ações em circulação",TRUE)</f>
        <v>226739600</v>
      </c>
      <c r="EF42" s="18">
        <f>VLOOKUP(BP42,Fundamentus!A:U,5,FALSE)</f>
        <v>0</v>
      </c>
      <c r="EG42" s="2" t="e">
        <f t="shared" ca="1" si="20"/>
        <v>#DIV/0!</v>
      </c>
      <c r="EH42" s="17" t="e">
        <v>#DIV/0!</v>
      </c>
      <c r="EI42" s="17" t="e">
        <f t="shared" ca="1" si="21"/>
        <v>#DIV/0!</v>
      </c>
      <c r="EK42" s="16" t="e">
        <f t="shared" ca="1" si="22"/>
        <v>#DIV/0!</v>
      </c>
      <c r="EL42" s="32" t="str">
        <f>IF(VLOOKUP(BP42,Fundamentus!A:U,3,FALSE)&lt;15,"Bom",IF(VLOOKUP(BP42,Fundamentus!A:U,3,FALSE)&gt;15,"Ruim","n/a"))</f>
        <v>Bom</v>
      </c>
      <c r="EM42" s="28" t="str">
        <f>IF(VLOOKUP(BP42,Fundamentus!A:U,4,FALSE)&lt;1,"Baixo",IF(VLOOKUP(BP42,Fundamentus!A:U,4,FALSE)&lt;1.5,"Moderado",IF(VLOOKUP(BP42,Fundamentus!A:U,4,FALSE)&gt;1.5,"Alto","n/a")))</f>
        <v>Moderado</v>
      </c>
      <c r="EN42" s="17" t="str">
        <f>IF(VLOOKUP(BP42,Fundamentus!A:U,8,FALSE)&lt;0,"Risco elevado",IF(VLOOKUP(BP42,Fundamentus!A:U,8,FALSE)&lt;1,"Saudável",IF(VLOOKUP(BP42,Fundamentus!A:U,8,FALSE)&lt;3,"Estável",IF(VLOOKUP(BP42,Fundamentus!A:U,8,FALSE)&gt;3,"Alerta","n/a"))))</f>
        <v>Saudável</v>
      </c>
      <c r="EO42" s="28" t="str">
        <f t="shared" si="23"/>
        <v>Ruim</v>
      </c>
      <c r="EP42" s="17" t="str">
        <f>IF(VLOOKUP(BP42,Fundamentus!A:U,12,FALSE)&lt;2,"Subvalorizada",IF(VLOOKUP(BP42,Fundamentus!A:U,12,FALSE)&lt;6,"Muita barata",IF(VLOOKUP(BP42,Fundamentus!A:U,12,FALSE)&lt;6,"Barata",IF(VLOOKUP(BP42,Fundamentus!A:U,12,FALSE)&lt;8,"Atrativa",IF(VLOOKUP(BP42,Fundamentus!A:U,12,FALSE)&gt;8,"Supervalorizada","n/a")))))</f>
        <v>Subvalorizada</v>
      </c>
      <c r="ER42" s="17" t="str">
        <f>IF(VLOOKUP(BP42,Fundamentus!A:U,17,FALSE)&lt;0.1,"Fraco retorno",IF(VLOOKUP(BP42,Fundamentus!A:U,17,FALSE)&gt;0.1,"Bom retorno","n/a"))</f>
        <v>Bom retorno</v>
      </c>
      <c r="ES42" s="17" t="str">
        <f>IF(VLOOKUP(BP42,Fundamentus!A:U,16,FALSE)&lt;0.1,"Ineficiente",IF(VLOOKUP(BP42,Fundamentus!A:U,16,FALSE)&gt;0.1,"Eficiente","n/a"))</f>
        <v>Ineficiente</v>
      </c>
      <c r="ET42" s="33" t="str">
        <f>IF(VLOOKUP(BP42,Fundamentus!A:U,16,FALSE)&lt;0.1,"Oper. Ineficiente",IF(VLOOKUP(BP42,Fundamentus!A:U,16,FALSE)&gt;0.1,"Oper.Eficiente","n/a"))</f>
        <v>Oper. Ineficiente</v>
      </c>
      <c r="EU42" s="34">
        <f>VLOOKUP(BP42,Fundamentus!A:U,14,FALSE)</f>
        <v>0</v>
      </c>
      <c r="EV42" s="17" t="str">
        <f>IF(VLOOKUP(BP42,Fundamentus!A:U,21,FALSE)&lt;0,"Negativo",IF(VLOOKUP(BP42,Fundamentus!A:U,21,FALSE)&lt;0.05,"Fraco",IF(VLOOKUP(BP42,Fundamentus!A:U,21,FALSE)&lt;0.1,"Bom",IF(VLOOKUP(BP42,Fundamentus!A:U,21,FALSE)&gt;0.1,"Muito bom","n/a"))))</f>
        <v>Muito bom</v>
      </c>
      <c r="EX42" s="29" t="str">
        <f>IF(VLOOKUP(BP42,Fundamentus!A:U,15,FALSE)&gt;1,"Bom",IF(VLOOKUP(BP42,Fundamentus!A:U,15,FALSE)&lt;1,"Ruim","n/a"))</f>
        <v>Ruim</v>
      </c>
      <c r="EY42" s="17" t="str">
        <f>IF(VLOOKUP(BP42,Fundamentus!A:U,20,FALSE)&lt;0.5,"Baixa",IF(VLOOKUP(BP42,Fundamentus!A:U,20,FALSE)&lt;1,"Moderada",IF(VLOOKUP(BP42,Fundamentus!A:U,20,FALSE)&lt;2,"Alerta",IF(VLOOKUP(BP42,Fundamentus!A:U,20,FALSE)&gt;2,"Alta","n/a"))))</f>
        <v>Baixa</v>
      </c>
    </row>
    <row r="43" spans="1:155" s="2" customFormat="1" ht="11.25" x14ac:dyDescent="0.2">
      <c r="A43" s="4">
        <v>9.83</v>
      </c>
      <c r="B43" s="4">
        <v>9.94</v>
      </c>
      <c r="C43" s="4">
        <v>10.29</v>
      </c>
      <c r="D43" s="4">
        <v>10.07</v>
      </c>
      <c r="E43" s="4">
        <v>9.8000000000000007</v>
      </c>
      <c r="F43" s="4">
        <v>9.74</v>
      </c>
      <c r="G43" s="4">
        <v>9.6199999999999992</v>
      </c>
      <c r="H43" s="4">
        <v>9.6999999999999993</v>
      </c>
      <c r="I43" s="4">
        <v>9.84</v>
      </c>
      <c r="J43" s="4">
        <v>9.94</v>
      </c>
      <c r="K43" s="4">
        <v>10.19</v>
      </c>
      <c r="L43" s="4">
        <v>10.34</v>
      </c>
      <c r="M43" s="4">
        <v>10.24</v>
      </c>
      <c r="N43" s="4">
        <v>9.86</v>
      </c>
      <c r="O43" s="4">
        <v>10.31</v>
      </c>
      <c r="P43" s="4">
        <v>10.94</v>
      </c>
      <c r="Q43" s="4">
        <v>10.96</v>
      </c>
      <c r="R43" s="4">
        <v>10.92</v>
      </c>
      <c r="S43" s="4">
        <v>11.18</v>
      </c>
      <c r="T43" s="4">
        <v>11.17</v>
      </c>
      <c r="U43" s="4">
        <v>10.91</v>
      </c>
      <c r="V43" s="4">
        <v>11.15</v>
      </c>
      <c r="W43" s="4">
        <v>10.63</v>
      </c>
      <c r="X43" s="4">
        <v>10.49</v>
      </c>
      <c r="Y43" s="4">
        <v>10.56</v>
      </c>
      <c r="Z43" s="4">
        <v>10.61</v>
      </c>
      <c r="AA43" s="4">
        <v>10.49</v>
      </c>
      <c r="AB43" s="4">
        <v>10.74</v>
      </c>
      <c r="AC43" s="4">
        <v>10.49</v>
      </c>
      <c r="AD43" s="4">
        <v>10.27</v>
      </c>
      <c r="AE43" s="4">
        <v>9.93</v>
      </c>
      <c r="AF43" s="4">
        <v>9.4499999999999993</v>
      </c>
      <c r="AG43" s="4">
        <v>9.31</v>
      </c>
      <c r="AH43" s="4">
        <v>8.94</v>
      </c>
      <c r="AI43" s="4">
        <v>9</v>
      </c>
      <c r="AJ43" s="4">
        <v>8.74</v>
      </c>
      <c r="AK43" s="4">
        <v>8.84</v>
      </c>
      <c r="AL43" s="4">
        <v>9.18</v>
      </c>
      <c r="AM43" s="4">
        <v>9.3000000000000007</v>
      </c>
      <c r="AN43" s="4">
        <v>9.6199999999999992</v>
      </c>
      <c r="AO43" s="4">
        <v>9.6300000000000008</v>
      </c>
      <c r="AP43" s="4">
        <v>9.9600000000000009</v>
      </c>
      <c r="AQ43" s="4">
        <v>9.1999999999999993</v>
      </c>
      <c r="AR43" s="4">
        <v>9.14</v>
      </c>
      <c r="AS43" s="4">
        <v>9.39</v>
      </c>
      <c r="AT43" s="4">
        <v>9.6</v>
      </c>
      <c r="AU43" s="4">
        <v>9.9600000000000009</v>
      </c>
      <c r="AV43" s="4">
        <v>9.8699999999999992</v>
      </c>
      <c r="AW43" s="4">
        <v>9.49</v>
      </c>
      <c r="AX43" s="4">
        <v>9.73</v>
      </c>
      <c r="AY43" s="12">
        <v>9.9700000000000006</v>
      </c>
      <c r="AZ43" s="12">
        <v>10.57</v>
      </c>
      <c r="BA43" s="12">
        <v>10.7</v>
      </c>
      <c r="BB43" s="15">
        <v>10.61</v>
      </c>
      <c r="BC43" s="52">
        <v>11.12</v>
      </c>
      <c r="BD43" s="52">
        <v>11.08</v>
      </c>
      <c r="BE43" s="52">
        <v>11.07</v>
      </c>
      <c r="BF43" s="52">
        <v>10.87</v>
      </c>
      <c r="BG43" s="67">
        <v>10.73</v>
      </c>
      <c r="BH43" s="52">
        <v>10.87</v>
      </c>
      <c r="BI43" s="52">
        <v>10.8</v>
      </c>
      <c r="BJ43" s="52">
        <v>11.14</v>
      </c>
      <c r="BK43" s="52">
        <v>10.5</v>
      </c>
      <c r="BL43" s="52">
        <v>10.41</v>
      </c>
      <c r="BM43" s="52">
        <v>10.41</v>
      </c>
      <c r="BN43" s="52">
        <v>10.34</v>
      </c>
      <c r="BO43" s="52" cm="1">
        <f t="array" aca="1" ref="BO43" ca="1">_FV(EC43,"Preço")</f>
        <v>10.34</v>
      </c>
      <c r="BP43" s="69" t="s">
        <v>40</v>
      </c>
      <c r="BQ43" s="36" cm="1">
        <f t="array" aca="1" ref="BQ43" ca="1">_FV(EC43,"Média de volume",TRUE)</f>
        <v>15402440</v>
      </c>
      <c r="BR43" s="36">
        <v>89500</v>
      </c>
      <c r="BS43" s="36" cm="1">
        <f t="array" aca="1" ref="BS43" ca="1">_FV(EC43,"Volume")</f>
        <v>89500</v>
      </c>
      <c r="BT43" s="24" cm="1">
        <f t="array" aca="1" ref="BT43" ca="1">_FV(EC43,"Beta")</f>
        <v>1.1713</v>
      </c>
      <c r="BU43" s="71" cm="1">
        <f t="array" aca="1" ref="BU43" ca="1">_FV(EC43,"Variação (%)",TRUE)</f>
        <v>0</v>
      </c>
      <c r="BW43" s="17" cm="1">
        <f t="array" aca="1" ref="BW43" ca="1">_FV(EC43,"Baixo")</f>
        <v>10.25</v>
      </c>
      <c r="BX43" s="17" cm="1">
        <f t="array" aca="1" ref="BX43" ca="1">_FV(EC43,"Alto")</f>
        <v>10.5</v>
      </c>
      <c r="BY43" s="24"/>
      <c r="BZ43" s="63">
        <f ca="1">SQRT(22.5*(BO43/VLOOKUP(BP43,Fundamentus!A:U,3,FALSE))*(BO43/VLOOKUP(BP43,Fundamentus!A:U,4,FALSE)))</f>
        <v>15.30215459250814</v>
      </c>
      <c r="CB43" s="62">
        <f t="shared" ca="1" si="24"/>
        <v>0</v>
      </c>
      <c r="CC43" s="8"/>
      <c r="CD43" s="61">
        <f t="shared" si="25"/>
        <v>8.74</v>
      </c>
      <c r="CE43" s="61">
        <f t="shared" si="26"/>
        <v>11.18</v>
      </c>
      <c r="CF43" s="61">
        <f t="shared" si="27"/>
        <v>10.161969696969697</v>
      </c>
      <c r="CG43" s="14"/>
      <c r="CH43" s="35">
        <f t="shared" si="1"/>
        <v>9.7061706529052909</v>
      </c>
      <c r="CI43" s="15">
        <f t="shared" si="28"/>
        <v>10.295000000000016</v>
      </c>
      <c r="CJ43" s="35">
        <f t="shared" si="2"/>
        <v>10.883829347094741</v>
      </c>
      <c r="CL43" s="14"/>
      <c r="CM43" s="17">
        <f t="shared" si="3"/>
        <v>6.5533333333333363</v>
      </c>
      <c r="CN43" s="17">
        <f t="shared" si="4"/>
        <v>7.6466666666666683</v>
      </c>
      <c r="CO43" s="17">
        <f t="shared" si="5"/>
        <v>8.9933333333333358</v>
      </c>
      <c r="CP43" s="38">
        <f t="shared" si="29"/>
        <v>10.086666666666668</v>
      </c>
      <c r="CQ43" s="17">
        <f t="shared" si="6"/>
        <v>11.433333333333335</v>
      </c>
      <c r="CR43" s="17">
        <f t="shared" si="7"/>
        <v>12.526666666666667</v>
      </c>
      <c r="CS43" s="17">
        <f t="shared" si="8"/>
        <v>13.873333333333335</v>
      </c>
      <c r="CT43" s="2" cm="1">
        <f t="array" aca="1" ref="CT43" ca="1">MAX(_xlfn._xlws.FILTER(CM43:CS43,CM43:CS43&lt;BO43))</f>
        <v>10.086666666666668</v>
      </c>
      <c r="CU43" s="2" cm="1">
        <f t="array" aca="1" ref="CU43" ca="1">MIN(_xlfn._xlws.FILTER($CM43:$CS43,$CM43:$CS43&gt;BO43))</f>
        <v>11.433333333333335</v>
      </c>
      <c r="CV43" s="16">
        <f t="shared" ca="1" si="63"/>
        <v>0.13350958360872456</v>
      </c>
      <c r="CW43" s="20">
        <f t="shared" ca="1" si="64"/>
        <v>-6.6754791804362279E-2</v>
      </c>
      <c r="CX43" s="20">
        <f t="shared" ca="1" si="65"/>
        <v>-4.4503194536241519E-2</v>
      </c>
      <c r="CY43" s="20">
        <f t="shared" ca="1" si="66"/>
        <v>-2.6701916721744913E-2</v>
      </c>
      <c r="CZ43" s="20">
        <f t="shared" ca="1" si="67"/>
        <v>-1.4834398178747174E-2</v>
      </c>
      <c r="DA43" s="20">
        <f t="shared" ca="1" si="68"/>
        <v>-7.8535049181602673E-3</v>
      </c>
      <c r="DB43" s="20">
        <f t="shared" ca="1" si="69"/>
        <v>-4.0457449578401384E-3</v>
      </c>
      <c r="DC43" s="20">
        <f t="shared" ca="1" si="70"/>
        <v>-2.053993593980378E-3</v>
      </c>
      <c r="DD43" s="21">
        <f t="shared" ca="1" si="71"/>
        <v>2.053993593980378E-3</v>
      </c>
      <c r="DE43" s="21">
        <f t="shared" ca="1" si="72"/>
        <v>4.0457449578401384E-3</v>
      </c>
      <c r="DF43" s="21">
        <f t="shared" ca="1" si="73"/>
        <v>7.8535049181602673E-3</v>
      </c>
      <c r="DG43" s="21">
        <f t="shared" ca="1" si="74"/>
        <v>1.4834398178747174E-2</v>
      </c>
      <c r="DH43" s="21">
        <f t="shared" ca="1" si="75"/>
        <v>2.6701916721744913E-2</v>
      </c>
      <c r="DI43" s="21">
        <f t="shared" ca="1" si="76"/>
        <v>4.4503194536241519E-2</v>
      </c>
      <c r="DJ43" s="21">
        <f t="shared" ca="1" si="77"/>
        <v>6.6754791804362279E-2</v>
      </c>
      <c r="DL43" s="16" cm="1">
        <f t="array" aca="1" ref="DL43" ca="1">MAX(_xlfn._xlws.FILTER(CW43:DJ43,CW43:DJ43&lt;BU43))</f>
        <v>-2.053993593980378E-3</v>
      </c>
      <c r="DM43" s="16" cm="1">
        <f t="array" aca="1" ref="DM43" ca="1">MIN(_xlfn._xlws.FILTER(CW43:DJ43,CW43:DJ43&gt;BU43))</f>
        <v>2.053993593980378E-3</v>
      </c>
      <c r="DN43" s="2" cm="1">
        <f t="array" aca="1" ref="DN43" ca="1">_FV(EC43,"Fechamento anterior",TRUE)</f>
        <v>10.34</v>
      </c>
      <c r="DO43" s="28">
        <f t="shared" ca="1" si="15"/>
        <v>0.5</v>
      </c>
      <c r="DP43" s="15">
        <f t="shared" ca="1" si="78"/>
        <v>10.318761706238243</v>
      </c>
      <c r="DQ43" s="15">
        <f t="shared" ca="1" si="79"/>
        <v>10.361238293761756</v>
      </c>
      <c r="DR43" s="9"/>
      <c r="DS43" s="9"/>
      <c r="DT43" s="9"/>
      <c r="DU43" s="89">
        <v>4.1695198965228655E-3</v>
      </c>
      <c r="DV43" s="89">
        <f t="shared" ca="1" si="18"/>
        <v>4.1079871879607559E-3</v>
      </c>
      <c r="DW43" s="72">
        <f t="shared" ca="1" si="19"/>
        <v>7.6422821352252993E-2</v>
      </c>
      <c r="DX43" s="37"/>
      <c r="DY43" s="35">
        <f t="shared" si="39"/>
        <v>0.29441467354736267</v>
      </c>
      <c r="DZ43" s="56"/>
      <c r="EA43" s="56"/>
      <c r="EC43" s="2" t="e" vm="43">
        <v>#VALUE!</v>
      </c>
      <c r="EE43" s="10" cm="1">
        <f t="array" aca="1" ref="EE43" ca="1">_FV(EC43,"Ações em circulação",TRUE)</f>
        <v>10993810000</v>
      </c>
      <c r="EF43" s="18">
        <f>VLOOKUP(BP43,Fundamentus!A:U,5,FALSE)</f>
        <v>14.114000000000001</v>
      </c>
      <c r="EG43" s="2">
        <f t="shared" ca="1" si="20"/>
        <v>8054130324.5004959</v>
      </c>
      <c r="EH43" s="17">
        <v>15109548488.76293</v>
      </c>
      <c r="EI43" s="17">
        <f t="shared" ca="1" si="21"/>
        <v>15109548488.76293</v>
      </c>
      <c r="EK43" s="16">
        <f t="shared" ca="1" si="22"/>
        <v>0</v>
      </c>
      <c r="EL43" s="32" t="str">
        <f>IF(VLOOKUP(BP43,Fundamentus!A:U,3,FALSE)&lt;15,"Bom",IF(VLOOKUP(BP43,Fundamentus!A:U,3,FALSE)&gt;15,"Ruim","n/a"))</f>
        <v>Bom</v>
      </c>
      <c r="EM43" s="28" t="str">
        <f>IF(VLOOKUP(BP43,Fundamentus!A:U,4,FALSE)&lt;1,"Baixo",IF(VLOOKUP(BP43,Fundamentus!A:U,4,FALSE)&lt;1.5,"Moderado",IF(VLOOKUP(BP43,Fundamentus!A:U,4,FALSE)&gt;1.5,"Alto","n/a")))</f>
        <v>Moderado</v>
      </c>
      <c r="EN43" s="17" t="str">
        <f>IF(VLOOKUP(BP43,Fundamentus!A:U,8,FALSE)&lt;0,"Risco elevado",IF(VLOOKUP(BP43,Fundamentus!A:U,8,FALSE)&lt;1,"Saudável",IF(VLOOKUP(BP43,Fundamentus!A:U,8,FALSE)&lt;3,"Estável",IF(VLOOKUP(BP43,Fundamentus!A:U,8,FALSE)&gt;3,"Alerta","n/a"))))</f>
        <v>Alerta</v>
      </c>
      <c r="EO43" s="28" t="str">
        <f t="shared" si="23"/>
        <v>Bom</v>
      </c>
      <c r="EP43" s="17" t="str">
        <f>IF(VLOOKUP(BP43,Fundamentus!A:U,12,FALSE)&lt;2,"Subvalorizada",IF(VLOOKUP(BP43,Fundamentus!A:U,12,FALSE)&lt;6,"Muita barata",IF(VLOOKUP(BP43,Fundamentus!A:U,12,FALSE)&lt;6,"Barata",IF(VLOOKUP(BP43,Fundamentus!A:U,12,FALSE)&lt;8,"Atrativa",IF(VLOOKUP(BP43,Fundamentus!A:U,12,FALSE)&gt;8,"Supervalorizada","n/a")))))</f>
        <v>Supervalorizada</v>
      </c>
      <c r="ER43" s="17" t="str">
        <f>IF(VLOOKUP(BP43,Fundamentus!A:U,17,FALSE)&lt;0.1,"Fraco retorno",IF(VLOOKUP(BP43,Fundamentus!A:U,17,FALSE)&gt;0.1,"Bom retorno","n/a"))</f>
        <v>Bom retorno</v>
      </c>
      <c r="ES43" s="17" t="str">
        <f>IF(VLOOKUP(BP43,Fundamentus!A:U,16,FALSE)&lt;0.1,"Ineficiente",IF(VLOOKUP(BP43,Fundamentus!A:U,16,FALSE)&gt;0.1,"Eficiente","n/a"))</f>
        <v>Ineficiente</v>
      </c>
      <c r="ET43" s="33" t="str">
        <f>IF(VLOOKUP(BP43,Fundamentus!A:U,16,FALSE)&lt;0.1,"Oper. Ineficiente",IF(VLOOKUP(BP43,Fundamentus!A:U,16,FALSE)&gt;0.1,"Oper.Eficiente","n/a"))</f>
        <v>Oper. Ineficiente</v>
      </c>
      <c r="EU43" s="34">
        <f>VLOOKUP(BP43,Fundamentus!A:U,14,FALSE)</f>
        <v>1.8759999999999999</v>
      </c>
      <c r="EV43" s="17" t="str">
        <f>IF(VLOOKUP(BP43,Fundamentus!A:U,21,FALSE)&lt;0,"Negativo",IF(VLOOKUP(BP43,Fundamentus!A:U,21,FALSE)&lt;0.05,"Fraco",IF(VLOOKUP(BP43,Fundamentus!A:U,21,FALSE)&lt;0.1,"Bom",IF(VLOOKUP(BP43,Fundamentus!A:U,21,FALSE)&gt;0.1,"Muito bom","n/a"))))</f>
        <v>Fraco</v>
      </c>
      <c r="EX43" s="29" t="str">
        <f>IF(VLOOKUP(BP43,Fundamentus!A:U,15,FALSE)&gt;1,"Bom",IF(VLOOKUP(BP43,Fundamentus!A:U,15,FALSE)&lt;1,"Ruim","n/a"))</f>
        <v>Bom</v>
      </c>
      <c r="EY43" s="17" t="str">
        <f>IF(VLOOKUP(BP43,Fundamentus!A:U,20,FALSE)&lt;0.5,"Baixa",IF(VLOOKUP(BP43,Fundamentus!A:U,20,FALSE)&lt;1,"Moderada",IF(VLOOKUP(BP43,Fundamentus!A:U,20,FALSE)&lt;2,"Alerta",IF(VLOOKUP(BP43,Fundamentus!A:U,20,FALSE)&gt;2,"Alta","n/a"))))</f>
        <v>Baixa</v>
      </c>
    </row>
    <row r="44" spans="1:155" s="2" customFormat="1" ht="11.25" x14ac:dyDescent="0.2">
      <c r="A44" s="4">
        <v>1.58</v>
      </c>
      <c r="B44" s="4">
        <v>1.5</v>
      </c>
      <c r="C44" s="4">
        <v>1.4</v>
      </c>
      <c r="D44" s="4">
        <v>1.38</v>
      </c>
      <c r="E44" s="4">
        <v>1.32</v>
      </c>
      <c r="F44" s="4">
        <v>1.28</v>
      </c>
      <c r="G44" s="4">
        <v>1.25</v>
      </c>
      <c r="H44" s="4">
        <v>1.24</v>
      </c>
      <c r="I44" s="4">
        <v>1.25</v>
      </c>
      <c r="J44" s="4">
        <v>1.42</v>
      </c>
      <c r="K44" s="4">
        <v>1.55</v>
      </c>
      <c r="L44" s="4">
        <v>1.44</v>
      </c>
      <c r="M44" s="4">
        <v>1.57</v>
      </c>
      <c r="N44" s="4">
        <v>1.55</v>
      </c>
      <c r="O44" s="4">
        <v>1.59</v>
      </c>
      <c r="P44" s="4">
        <v>1.59</v>
      </c>
      <c r="Q44" s="4">
        <v>1.74</v>
      </c>
      <c r="R44" s="4">
        <v>1.59</v>
      </c>
      <c r="S44" s="4">
        <v>1.46</v>
      </c>
      <c r="T44" s="4">
        <v>1.43</v>
      </c>
      <c r="U44" s="4">
        <v>1.33</v>
      </c>
      <c r="V44" s="4">
        <v>1.36</v>
      </c>
      <c r="W44" s="4">
        <v>1.43</v>
      </c>
      <c r="X44" s="4">
        <v>1.37</v>
      </c>
      <c r="Y44" s="4">
        <v>1.36</v>
      </c>
      <c r="Z44" s="4">
        <v>1.4</v>
      </c>
      <c r="AA44" s="4">
        <v>1.27</v>
      </c>
      <c r="AB44" s="4">
        <v>1.32</v>
      </c>
      <c r="AC44" s="4">
        <v>1.27</v>
      </c>
      <c r="AD44" s="4">
        <v>1.32</v>
      </c>
      <c r="AE44" s="4">
        <v>1.26</v>
      </c>
      <c r="AF44" s="4">
        <v>1.2</v>
      </c>
      <c r="AG44" s="4">
        <v>1.07</v>
      </c>
      <c r="AH44" s="4">
        <v>0.98</v>
      </c>
      <c r="AI44" s="4">
        <v>0.97</v>
      </c>
      <c r="AJ44" s="4">
        <v>0.97</v>
      </c>
      <c r="AK44" s="4">
        <v>0.94</v>
      </c>
      <c r="AL44" s="4">
        <v>0.91</v>
      </c>
      <c r="AM44" s="4">
        <v>0.97</v>
      </c>
      <c r="AN44" s="4">
        <v>1.01</v>
      </c>
      <c r="AO44" s="4">
        <v>0.98</v>
      </c>
      <c r="AP44" s="4">
        <v>1</v>
      </c>
      <c r="AQ44" s="4">
        <v>0.99</v>
      </c>
      <c r="AR44" s="4">
        <v>0.95</v>
      </c>
      <c r="AS44" s="4">
        <v>0.95</v>
      </c>
      <c r="AT44" s="4">
        <v>1.1000000000000001</v>
      </c>
      <c r="AU44" s="4">
        <v>1.1000000000000001</v>
      </c>
      <c r="AV44" s="4">
        <v>1.34</v>
      </c>
      <c r="AW44" s="4">
        <v>1.26</v>
      </c>
      <c r="AX44" s="4">
        <v>1.22</v>
      </c>
      <c r="AY44" s="12">
        <v>1.28</v>
      </c>
      <c r="AZ44" s="12">
        <v>1.31</v>
      </c>
      <c r="BA44" s="12">
        <v>1.19</v>
      </c>
      <c r="BB44" s="15">
        <v>1.44</v>
      </c>
      <c r="BC44" s="52">
        <v>1.36</v>
      </c>
      <c r="BD44" s="52">
        <v>1.2</v>
      </c>
      <c r="BE44" s="52">
        <v>1.19</v>
      </c>
      <c r="BF44" s="52">
        <v>1.1399999999999999</v>
      </c>
      <c r="BG44" s="67">
        <v>1.1299999999999999</v>
      </c>
      <c r="BH44" s="52">
        <v>1.1499999999999999</v>
      </c>
      <c r="BI44" s="52">
        <v>1.19</v>
      </c>
      <c r="BJ44" s="52">
        <v>1.23</v>
      </c>
      <c r="BK44" s="52">
        <v>1.21</v>
      </c>
      <c r="BL44" s="52">
        <v>1.35</v>
      </c>
      <c r="BM44" s="52">
        <v>1.34</v>
      </c>
      <c r="BN44" s="52">
        <v>1.34</v>
      </c>
      <c r="BO44" s="52" cm="1">
        <f t="array" aca="1" ref="BO44" ca="1">_FV(EC44,"Preço")</f>
        <v>1.34</v>
      </c>
      <c r="BP44" s="69" t="s">
        <v>41</v>
      </c>
      <c r="BQ44" s="36" cm="1">
        <f t="array" aca="1" ref="BQ44" ca="1">_FV(EC44,"Média de volume",TRUE)</f>
        <v>271880</v>
      </c>
      <c r="BR44" s="36">
        <v>389100</v>
      </c>
      <c r="BS44" s="36" cm="1">
        <f t="array" aca="1" ref="BS44" ca="1">_FV(EC44,"Volume")</f>
        <v>389100</v>
      </c>
      <c r="BT44" s="24" cm="1">
        <f t="array" aca="1" ref="BT44" ca="1">_FV(EC44,"Beta")</f>
        <v>2.0648</v>
      </c>
      <c r="BU44" s="71" cm="1">
        <f t="array" aca="1" ref="BU44" ca="1">_FV(EC44,"Variação (%)",TRUE)</f>
        <v>0</v>
      </c>
      <c r="BW44" s="17" cm="1">
        <f t="array" aca="1" ref="BW44" ca="1">_FV(EC44,"Baixo")</f>
        <v>1.32</v>
      </c>
      <c r="BX44" s="17" cm="1">
        <f t="array" aca="1" ref="BX44" ca="1">_FV(EC44,"Alto")</f>
        <v>1.37</v>
      </c>
      <c r="BY44" s="24"/>
      <c r="BZ44" s="63" t="e">
        <f ca="1">SQRT(22.5*(BO44/VLOOKUP(BP44,Fundamentus!A:U,3,FALSE))*(BO44/VLOOKUP(BP44,Fundamentus!A:U,4,FALSE)))</f>
        <v>#NUM!</v>
      </c>
      <c r="CB44" s="62">
        <f t="shared" ca="1" si="24"/>
        <v>0</v>
      </c>
      <c r="CC44" s="8"/>
      <c r="CD44" s="61">
        <f t="shared" si="25"/>
        <v>0.91</v>
      </c>
      <c r="CE44" s="61">
        <f t="shared" si="26"/>
        <v>1.74</v>
      </c>
      <c r="CF44" s="61">
        <f t="shared" si="27"/>
        <v>1.2693939393939393</v>
      </c>
      <c r="CG44" s="14"/>
      <c r="CH44" s="35">
        <f t="shared" si="1"/>
        <v>1.2832790075623774</v>
      </c>
      <c r="CI44" s="15">
        <f t="shared" si="28"/>
        <v>1.4050000000000011</v>
      </c>
      <c r="CJ44" s="35">
        <f t="shared" si="2"/>
        <v>1.5267209924376248</v>
      </c>
      <c r="CL44" s="14"/>
      <c r="CM44" s="17">
        <f t="shared" si="3"/>
        <v>9.0000000000000191E-2</v>
      </c>
      <c r="CN44" s="17">
        <f t="shared" si="4"/>
        <v>0.50000000000000011</v>
      </c>
      <c r="CO44" s="17">
        <f t="shared" si="5"/>
        <v>0.92000000000000015</v>
      </c>
      <c r="CP44" s="38">
        <f t="shared" si="29"/>
        <v>1.33</v>
      </c>
      <c r="CQ44" s="17">
        <f t="shared" si="6"/>
        <v>1.75</v>
      </c>
      <c r="CR44" s="17">
        <f t="shared" si="7"/>
        <v>2.16</v>
      </c>
      <c r="CS44" s="17">
        <f t="shared" si="8"/>
        <v>2.58</v>
      </c>
      <c r="CT44" s="2" cm="1">
        <f t="array" aca="1" ref="CT44" ca="1">MAX(_xlfn._xlws.FILTER(CM44:CS44,CM44:CS44&lt;BO44))</f>
        <v>1.33</v>
      </c>
      <c r="CU44" s="2" cm="1">
        <f t="array" aca="1" ref="CU44" ca="1">MIN(_xlfn._xlws.FILTER($CM44:$CS44,$CM44:$CS44&gt;BO44))</f>
        <v>1.75</v>
      </c>
      <c r="CV44" s="16">
        <f t="shared" ca="1" si="63"/>
        <v>0.3157894736842104</v>
      </c>
      <c r="CW44" s="20">
        <f t="shared" ca="1" si="64"/>
        <v>-0.1578947368421052</v>
      </c>
      <c r="CX44" s="20">
        <f t="shared" ca="1" si="65"/>
        <v>-0.10526315789473679</v>
      </c>
      <c r="CY44" s="20">
        <f t="shared" ca="1" si="66"/>
        <v>-6.315789473684208E-2</v>
      </c>
      <c r="CZ44" s="20">
        <f t="shared" ca="1" si="67"/>
        <v>-3.5087719298245598E-2</v>
      </c>
      <c r="DA44" s="20">
        <f t="shared" ca="1" si="68"/>
        <v>-1.8575851393188847E-2</v>
      </c>
      <c r="DB44" s="20">
        <f t="shared" ca="1" si="69"/>
        <v>-9.5693779904306182E-3</v>
      </c>
      <c r="DC44" s="20">
        <f t="shared" ca="1" si="70"/>
        <v>-4.858299595141698E-3</v>
      </c>
      <c r="DD44" s="21">
        <f t="shared" ca="1" si="71"/>
        <v>4.858299595141698E-3</v>
      </c>
      <c r="DE44" s="21">
        <f t="shared" ca="1" si="72"/>
        <v>9.5693779904306182E-3</v>
      </c>
      <c r="DF44" s="21">
        <f t="shared" ca="1" si="73"/>
        <v>1.8575851393188847E-2</v>
      </c>
      <c r="DG44" s="21">
        <f t="shared" ca="1" si="74"/>
        <v>3.5087719298245598E-2</v>
      </c>
      <c r="DH44" s="21">
        <f t="shared" ca="1" si="75"/>
        <v>6.315789473684208E-2</v>
      </c>
      <c r="DI44" s="21">
        <f t="shared" ca="1" si="76"/>
        <v>0.10526315789473679</v>
      </c>
      <c r="DJ44" s="21">
        <f t="shared" ca="1" si="77"/>
        <v>0.1578947368421052</v>
      </c>
      <c r="DL44" s="16" cm="1">
        <f t="array" aca="1" ref="DL44" ca="1">MAX(_xlfn._xlws.FILTER(CW44:DJ44,CW44:DJ44&lt;BU44))</f>
        <v>-4.858299595141698E-3</v>
      </c>
      <c r="DM44" s="16" cm="1">
        <f t="array" aca="1" ref="DM44" ca="1">MIN(_xlfn._xlws.FILTER(CW44:DJ44,CW44:DJ44&gt;BU44))</f>
        <v>4.858299595141698E-3</v>
      </c>
      <c r="DN44" s="2" cm="1">
        <f t="array" aca="1" ref="DN44" ca="1">_FV(EC44,"Fechamento anterior",TRUE)</f>
        <v>1.34</v>
      </c>
      <c r="DO44" s="28">
        <f t="shared" ca="1" si="15"/>
        <v>0.5</v>
      </c>
      <c r="DP44" s="15">
        <f t="shared" ca="1" si="78"/>
        <v>1.3334898785425102</v>
      </c>
      <c r="DQ44" s="15">
        <f t="shared" ca="1" si="79"/>
        <v>1.3465101214574899</v>
      </c>
      <c r="DR44" s="9"/>
      <c r="DS44" s="9"/>
      <c r="DT44" s="9"/>
      <c r="DU44" s="89">
        <v>4.7365967365967342E-3</v>
      </c>
      <c r="DV44" s="89">
        <f t="shared" ca="1" si="18"/>
        <v>9.7165991902833961E-3</v>
      </c>
      <c r="DW44" s="72">
        <f t="shared" ca="1" si="19"/>
        <v>-0.53400813366938749</v>
      </c>
      <c r="DX44" s="37"/>
      <c r="DY44" s="35">
        <f t="shared" si="39"/>
        <v>6.0860496218811809E-2</v>
      </c>
      <c r="DZ44" s="56"/>
      <c r="EA44" s="56"/>
      <c r="EC44" s="2" t="e" vm="44">
        <v>#VALUE!</v>
      </c>
      <c r="EE44" s="10" cm="1">
        <f t="array" aca="1" ref="EE44" ca="1">_FV(EC44,"Ações em circulação",TRUE)</f>
        <v>286676500</v>
      </c>
      <c r="EF44" s="18">
        <f>VLOOKUP(BP44,Fundamentus!A:U,5,FALSE)</f>
        <v>0.17499999999999999</v>
      </c>
      <c r="EG44" s="2">
        <f t="shared" ca="1" si="20"/>
        <v>2195122914.2857146</v>
      </c>
      <c r="EH44" s="17">
        <v>-86048818.24000001</v>
      </c>
      <c r="EI44" s="17">
        <f t="shared" ca="1" si="21"/>
        <v>-86048818.24000001</v>
      </c>
      <c r="EK44" s="16">
        <f t="shared" ca="1" si="22"/>
        <v>0</v>
      </c>
      <c r="EL44" s="32" t="str">
        <f>IF(VLOOKUP(BP44,Fundamentus!A:U,3,FALSE)&lt;15,"Bom",IF(VLOOKUP(BP44,Fundamentus!A:U,3,FALSE)&gt;15,"Ruim","n/a"))</f>
        <v>Bom</v>
      </c>
      <c r="EM44" s="28" t="str">
        <f>IF(VLOOKUP(BP44,Fundamentus!A:U,4,FALSE)&lt;1,"Baixo",IF(VLOOKUP(BP44,Fundamentus!A:U,4,FALSE)&lt;1.5,"Moderado",IF(VLOOKUP(BP44,Fundamentus!A:U,4,FALSE)&gt;1.5,"Alto","n/a")))</f>
        <v>Baixo</v>
      </c>
      <c r="EN44" s="17" t="str">
        <f>IF(VLOOKUP(BP44,Fundamentus!A:U,8,FALSE)&lt;0,"Risco elevado",IF(VLOOKUP(BP44,Fundamentus!A:U,8,FALSE)&lt;1,"Saudável",IF(VLOOKUP(BP44,Fundamentus!A:U,8,FALSE)&lt;3,"Estável",IF(VLOOKUP(BP44,Fundamentus!A:U,8,FALSE)&gt;3,"Alerta","n/a"))))</f>
        <v>Risco elevado</v>
      </c>
      <c r="EO44" s="28" t="str">
        <f t="shared" si="23"/>
        <v>Ruim</v>
      </c>
      <c r="EP44" s="17" t="str">
        <f>IF(VLOOKUP(BP44,Fundamentus!A:U,12,FALSE)&lt;2,"Subvalorizada",IF(VLOOKUP(BP44,Fundamentus!A:U,12,FALSE)&lt;6,"Muita barata",IF(VLOOKUP(BP44,Fundamentus!A:U,12,FALSE)&lt;6,"Barata",IF(VLOOKUP(BP44,Fundamentus!A:U,12,FALSE)&lt;8,"Atrativa",IF(VLOOKUP(BP44,Fundamentus!A:U,12,FALSE)&gt;8,"Supervalorizada","n/a")))))</f>
        <v>Muita barata</v>
      </c>
      <c r="ER44" s="17" t="str">
        <f>IF(VLOOKUP(BP44,Fundamentus!A:U,17,FALSE)&lt;0.1,"Fraco retorno",IF(VLOOKUP(BP44,Fundamentus!A:U,17,FALSE)&gt;0.1,"Bom retorno","n/a"))</f>
        <v>Fraco retorno</v>
      </c>
      <c r="ES44" s="17" t="str">
        <f>IF(VLOOKUP(BP44,Fundamentus!A:U,16,FALSE)&lt;0.1,"Ineficiente",IF(VLOOKUP(BP44,Fundamentus!A:U,16,FALSE)&gt;0.1,"Eficiente","n/a"))</f>
        <v>Ineficiente</v>
      </c>
      <c r="ET44" s="33" t="str">
        <f>IF(VLOOKUP(BP44,Fundamentus!A:U,16,FALSE)&lt;0.1,"Oper. Ineficiente",IF(VLOOKUP(BP44,Fundamentus!A:U,16,FALSE)&gt;0.1,"Oper.Eficiente","n/a"))</f>
        <v>Oper. Ineficiente</v>
      </c>
      <c r="EU44" s="34">
        <f>VLOOKUP(BP44,Fundamentus!A:U,14,FALSE)</f>
        <v>-3.9199999999999999E-2</v>
      </c>
      <c r="EV44" s="17" t="str">
        <f>IF(VLOOKUP(BP44,Fundamentus!A:U,21,FALSE)&lt;0,"Negativo",IF(VLOOKUP(BP44,Fundamentus!A:U,21,FALSE)&lt;0.05,"Fraco",IF(VLOOKUP(BP44,Fundamentus!A:U,21,FALSE)&lt;0.1,"Bom",IF(VLOOKUP(BP44,Fundamentus!A:U,21,FALSE)&gt;0.1,"Muito bom","n/a"))))</f>
        <v>Muito bom</v>
      </c>
      <c r="EX44" s="29" t="str">
        <f>IF(VLOOKUP(BP44,Fundamentus!A:U,15,FALSE)&gt;1,"Bom",IF(VLOOKUP(BP44,Fundamentus!A:U,15,FALSE)&lt;1,"Ruim","n/a"))</f>
        <v>Ruim</v>
      </c>
      <c r="EY44" s="17" t="str">
        <f>IF(VLOOKUP(BP44,Fundamentus!A:U,20,FALSE)&lt;0.5,"Baixa",IF(VLOOKUP(BP44,Fundamentus!A:U,20,FALSE)&lt;1,"Moderada",IF(VLOOKUP(BP44,Fundamentus!A:U,20,FALSE)&lt;2,"Alerta",IF(VLOOKUP(BP44,Fundamentus!A:U,20,FALSE)&gt;2,"Alta","n/a"))))</f>
        <v>Moderada</v>
      </c>
    </row>
    <row r="45" spans="1:155" s="2" customFormat="1" ht="11.25" x14ac:dyDescent="0.2">
      <c r="A45" s="4">
        <v>32.840000000000003</v>
      </c>
      <c r="B45" s="4">
        <v>32.619999999999997</v>
      </c>
      <c r="C45" s="4">
        <v>34.17</v>
      </c>
      <c r="D45" s="4">
        <v>32.69</v>
      </c>
      <c r="E45" s="4">
        <v>32.200000000000003</v>
      </c>
      <c r="F45" s="4">
        <v>32.69</v>
      </c>
      <c r="G45" s="4">
        <v>32.46</v>
      </c>
      <c r="H45" s="4">
        <v>32.9</v>
      </c>
      <c r="I45" s="4">
        <v>32.950000000000003</v>
      </c>
      <c r="J45" s="4">
        <v>33.17</v>
      </c>
      <c r="K45" s="4">
        <v>33.96</v>
      </c>
      <c r="L45" s="4">
        <v>34.1</v>
      </c>
      <c r="M45" s="4">
        <v>34.6</v>
      </c>
      <c r="N45" s="4">
        <v>34.9</v>
      </c>
      <c r="O45" s="4">
        <v>36.159999999999997</v>
      </c>
      <c r="P45" s="4">
        <v>37.33</v>
      </c>
      <c r="Q45" s="4">
        <v>36.99</v>
      </c>
      <c r="R45" s="4">
        <v>36.729999999999997</v>
      </c>
      <c r="S45" s="4">
        <v>36.71</v>
      </c>
      <c r="T45" s="4">
        <v>36.19</v>
      </c>
      <c r="U45" s="4">
        <v>35.01</v>
      </c>
      <c r="V45" s="4">
        <v>35.369999999999997</v>
      </c>
      <c r="W45" s="4">
        <v>35.08</v>
      </c>
      <c r="X45" s="4">
        <v>33.86</v>
      </c>
      <c r="Y45" s="4">
        <v>34.07</v>
      </c>
      <c r="Z45" s="4">
        <v>34.299999999999997</v>
      </c>
      <c r="AA45" s="4">
        <v>34.28</v>
      </c>
      <c r="AB45" s="4">
        <v>34.44</v>
      </c>
      <c r="AC45" s="4">
        <v>33.409999999999997</v>
      </c>
      <c r="AD45" s="4">
        <v>33.950000000000003</v>
      </c>
      <c r="AE45" s="4">
        <v>33.53</v>
      </c>
      <c r="AF45" s="4">
        <v>35.42</v>
      </c>
      <c r="AG45" s="4">
        <v>36.64</v>
      </c>
      <c r="AH45" s="4">
        <v>36.49</v>
      </c>
      <c r="AI45" s="4">
        <v>36.28</v>
      </c>
      <c r="AJ45" s="4">
        <v>35.99</v>
      </c>
      <c r="AK45" s="4">
        <v>36.14</v>
      </c>
      <c r="AL45" s="4">
        <v>37.83</v>
      </c>
      <c r="AM45" s="4">
        <v>37.83</v>
      </c>
      <c r="AN45" s="4">
        <v>38.54</v>
      </c>
      <c r="AO45" s="4">
        <v>39.299999999999997</v>
      </c>
      <c r="AP45" s="4">
        <v>38.880000000000003</v>
      </c>
      <c r="AQ45" s="4">
        <v>37.03</v>
      </c>
      <c r="AR45" s="4">
        <v>37.840000000000003</v>
      </c>
      <c r="AS45" s="4">
        <v>39.020000000000003</v>
      </c>
      <c r="AT45" s="4">
        <v>39.81</v>
      </c>
      <c r="AU45" s="4">
        <v>40.39</v>
      </c>
      <c r="AV45" s="4">
        <v>40.26</v>
      </c>
      <c r="AW45" s="4">
        <v>40.25</v>
      </c>
      <c r="AX45" s="4">
        <v>39.979999999999997</v>
      </c>
      <c r="AY45" s="12">
        <v>40.74</v>
      </c>
      <c r="AZ45" s="12">
        <v>42.05</v>
      </c>
      <c r="BA45" s="12">
        <v>42.77</v>
      </c>
      <c r="BB45" s="15">
        <v>38.19</v>
      </c>
      <c r="BC45" s="52">
        <v>38.51</v>
      </c>
      <c r="BD45" s="52">
        <v>38.1</v>
      </c>
      <c r="BE45" s="52">
        <v>37.51</v>
      </c>
      <c r="BF45" s="52">
        <v>36.44</v>
      </c>
      <c r="BG45" s="67">
        <v>35.51</v>
      </c>
      <c r="BH45" s="52">
        <v>35.19</v>
      </c>
      <c r="BI45" s="52">
        <v>35.229999999999997</v>
      </c>
      <c r="BJ45" s="52">
        <v>36.51</v>
      </c>
      <c r="BK45" s="52">
        <v>35.22</v>
      </c>
      <c r="BL45" s="52">
        <v>34.32</v>
      </c>
      <c r="BM45" s="52">
        <v>33.53</v>
      </c>
      <c r="BN45" s="52">
        <v>33.44</v>
      </c>
      <c r="BO45" s="52" cm="1">
        <f t="array" aca="1" ref="BO45" ca="1">_FV(EC45,"Preço")</f>
        <v>33.44</v>
      </c>
      <c r="BP45" s="69" t="s">
        <v>42</v>
      </c>
      <c r="BQ45" s="36" cm="1">
        <f t="array" aca="1" ref="BQ45" ca="1">_FV(EC45,"Média de volume",TRUE)</f>
        <v>7231300</v>
      </c>
      <c r="BR45" s="36">
        <v>6197300</v>
      </c>
      <c r="BS45" s="36" cm="1">
        <f t="array" aca="1" ref="BS45" ca="1">_FV(EC45,"Volume")</f>
        <v>6197300</v>
      </c>
      <c r="BT45" s="24" cm="1">
        <f t="array" aca="1" ref="BT45" ca="1">_FV(EC45,"Beta")</f>
        <v>0.55600000000000005</v>
      </c>
      <c r="BU45" s="71" cm="1">
        <f t="array" aca="1" ref="BU45" ca="1">_FV(EC45,"Variação (%)",TRUE)</f>
        <v>-7.7149999999999996E-3</v>
      </c>
      <c r="BW45" s="17" cm="1">
        <f t="array" aca="1" ref="BW45" ca="1">_FV(EC45,"Baixo")</f>
        <v>33.39</v>
      </c>
      <c r="BX45" s="17" cm="1">
        <f t="array" aca="1" ref="BX45" ca="1">_FV(EC45,"Alto")</f>
        <v>34.08</v>
      </c>
      <c r="BY45" s="24"/>
      <c r="BZ45" s="63">
        <f ca="1">SQRT(22.5*(BO45/VLOOKUP(BP45,Fundamentus!A:U,3,FALSE))*(BO45/VLOOKUP(BP45,Fundamentus!A:U,4,FALSE)))</f>
        <v>23.573000718052821</v>
      </c>
      <c r="CB45" s="62">
        <f t="shared" ca="1" si="24"/>
        <v>0</v>
      </c>
      <c r="CC45" s="8"/>
      <c r="CD45" s="61">
        <f t="shared" si="25"/>
        <v>32.200000000000003</v>
      </c>
      <c r="CE45" s="61">
        <f t="shared" si="26"/>
        <v>42.77</v>
      </c>
      <c r="CF45" s="61">
        <f t="shared" si="27"/>
        <v>36.073333333333352</v>
      </c>
      <c r="CG45" s="14"/>
      <c r="CH45" s="35">
        <f t="shared" si="1"/>
        <v>30.29694517036716</v>
      </c>
      <c r="CI45" s="15">
        <f t="shared" si="28"/>
        <v>32.595000000000255</v>
      </c>
      <c r="CJ45" s="35">
        <f t="shared" si="2"/>
        <v>34.89305482963335</v>
      </c>
      <c r="CL45" s="14"/>
      <c r="CM45" s="17">
        <f t="shared" si="3"/>
        <v>18.933333333333323</v>
      </c>
      <c r="CN45" s="17">
        <f t="shared" si="4"/>
        <v>25.566666666666663</v>
      </c>
      <c r="CO45" s="17">
        <f t="shared" si="5"/>
        <v>29.503333333333323</v>
      </c>
      <c r="CP45" s="38">
        <f t="shared" si="29"/>
        <v>36.136666666666663</v>
      </c>
      <c r="CQ45" s="17">
        <f t="shared" si="6"/>
        <v>40.073333333333323</v>
      </c>
      <c r="CR45" s="17">
        <f t="shared" si="7"/>
        <v>46.706666666666663</v>
      </c>
      <c r="CS45" s="17">
        <f t="shared" si="8"/>
        <v>50.643333333333324</v>
      </c>
      <c r="CT45" s="2" cm="1">
        <f t="array" aca="1" ref="CT45" ca="1">MAX(_xlfn._xlws.FILTER(CM45:CS45,CM45:CS45&lt;BO45))</f>
        <v>29.503333333333323</v>
      </c>
      <c r="CU45" s="2" cm="1">
        <f t="array" aca="1" ref="CU45" ca="1">MIN(_xlfn._xlws.FILTER($CM45:$CS45,$CM45:$CS45&gt;BO45))</f>
        <v>36.136666666666663</v>
      </c>
      <c r="CV45" s="16">
        <f t="shared" ca="1" si="63"/>
        <v>0.22483335216359768</v>
      </c>
      <c r="CW45" s="20">
        <f t="shared" ca="1" si="64"/>
        <v>-0.11241667608179884</v>
      </c>
      <c r="CX45" s="20">
        <f t="shared" ca="1" si="65"/>
        <v>-7.4944450721199221E-2</v>
      </c>
      <c r="CY45" s="20">
        <f t="shared" ca="1" si="66"/>
        <v>-4.4966670432719534E-2</v>
      </c>
      <c r="CZ45" s="20">
        <f t="shared" ca="1" si="67"/>
        <v>-2.4981483573733074E-2</v>
      </c>
      <c r="DA45" s="20">
        <f t="shared" ca="1" si="68"/>
        <v>-1.322549130374104E-2</v>
      </c>
      <c r="DB45" s="20">
        <f t="shared" ca="1" si="69"/>
        <v>-6.8131318837453842E-3</v>
      </c>
      <c r="DC45" s="20">
        <f t="shared" ca="1" si="70"/>
        <v>-3.4589746486707335E-3</v>
      </c>
      <c r="DD45" s="21">
        <f t="shared" ca="1" si="71"/>
        <v>3.4589746486707335E-3</v>
      </c>
      <c r="DE45" s="21">
        <f t="shared" ca="1" si="72"/>
        <v>6.8131318837453842E-3</v>
      </c>
      <c r="DF45" s="21">
        <f t="shared" ca="1" si="73"/>
        <v>1.322549130374104E-2</v>
      </c>
      <c r="DG45" s="21">
        <f t="shared" ca="1" si="74"/>
        <v>2.4981483573733074E-2</v>
      </c>
      <c r="DH45" s="21">
        <f t="shared" ca="1" si="75"/>
        <v>4.4966670432719534E-2</v>
      </c>
      <c r="DI45" s="21">
        <f t="shared" ca="1" si="76"/>
        <v>7.4944450721199221E-2</v>
      </c>
      <c r="DJ45" s="21">
        <f t="shared" ca="1" si="77"/>
        <v>0.11241667608179884</v>
      </c>
      <c r="DL45" s="16" cm="1">
        <f t="array" aca="1" ref="DL45" ca="1">MAX(_xlfn._xlws.FILTER(CW45:DJ45,CW45:DJ45&lt;BU45))</f>
        <v>-1.322549130374104E-2</v>
      </c>
      <c r="DM45" s="16" cm="1">
        <f t="array" aca="1" ref="DM45" ca="1">MIN(_xlfn._xlws.FILTER(CW45:DJ45,CW45:DJ45&gt;BU45))</f>
        <v>-6.8131318837453842E-3</v>
      </c>
      <c r="DN45" s="2" cm="1">
        <f t="array" aca="1" ref="DN45" ca="1">_FV(EC45,"Fechamento anterior",TRUE)</f>
        <v>33.700000000000003</v>
      </c>
      <c r="DO45" s="28">
        <f t="shared" ca="1" si="15"/>
        <v>0.85933389126639703</v>
      </c>
      <c r="DP45" s="15">
        <f t="shared" ca="1" si="78"/>
        <v>33.254300943063932</v>
      </c>
      <c r="DQ45" s="15">
        <f t="shared" ca="1" si="79"/>
        <v>33.470397455517784</v>
      </c>
      <c r="DR45" s="9"/>
      <c r="DS45" s="9"/>
      <c r="DT45" s="9"/>
      <c r="DU45" s="89">
        <v>6.4831147582892368E-3</v>
      </c>
      <c r="DV45" s="89">
        <f t="shared" ca="1" si="18"/>
        <v>6.4123594199956557E-3</v>
      </c>
      <c r="DW45" s="72">
        <f t="shared" ca="1" si="19"/>
        <v>0.36770227981664599</v>
      </c>
      <c r="DX45" s="37"/>
      <c r="DY45" s="35">
        <f t="shared" si="39"/>
        <v>1.1490274148165478</v>
      </c>
      <c r="DZ45" s="56"/>
      <c r="EA45" s="56"/>
      <c r="EC45" s="2" t="e" vm="45">
        <v>#VALUE!</v>
      </c>
      <c r="EE45" s="10" cm="1">
        <f t="array" aca="1" ref="EE45" ca="1">_FV(EC45,"Ações em circulação",TRUE)</f>
        <v>2000000000</v>
      </c>
      <c r="EF45" s="18">
        <f>VLOOKUP(BP45,Fundamentus!A:U,5,FALSE)</f>
        <v>0</v>
      </c>
      <c r="EG45" s="2" t="e">
        <f t="shared" ca="1" si="20"/>
        <v>#DIV/0!</v>
      </c>
      <c r="EH45" s="17" t="e">
        <v>#DIV/0!</v>
      </c>
      <c r="EI45" s="17" t="e">
        <f t="shared" ca="1" si="21"/>
        <v>#DIV/0!</v>
      </c>
      <c r="EK45" s="16" t="e">
        <f t="shared" ca="1" si="22"/>
        <v>#DIV/0!</v>
      </c>
      <c r="EL45" s="32" t="str">
        <f>IF(VLOOKUP(BP45,Fundamentus!A:U,3,FALSE)&lt;15,"Bom",IF(VLOOKUP(BP45,Fundamentus!A:U,3,FALSE)&gt;15,"Ruim","n/a"))</f>
        <v>Bom</v>
      </c>
      <c r="EM45" s="28" t="str">
        <f>IF(VLOOKUP(BP45,Fundamentus!A:U,4,FALSE)&lt;1,"Baixo",IF(VLOOKUP(BP45,Fundamentus!A:U,4,FALSE)&lt;1.5,"Moderado",IF(VLOOKUP(BP45,Fundamentus!A:U,4,FALSE)&gt;1.5,"Alto","n/a")))</f>
        <v>Alto</v>
      </c>
      <c r="EN45" s="17" t="str">
        <f>IF(VLOOKUP(BP45,Fundamentus!A:U,8,FALSE)&lt;0,"Risco elevado",IF(VLOOKUP(BP45,Fundamentus!A:U,8,FALSE)&lt;1,"Saudável",IF(VLOOKUP(BP45,Fundamentus!A:U,8,FALSE)&lt;3,"Estável",IF(VLOOKUP(BP45,Fundamentus!A:U,8,FALSE)&gt;3,"Alerta","n/a"))))</f>
        <v>Saudável</v>
      </c>
      <c r="EO45" s="28" t="str">
        <f t="shared" si="23"/>
        <v>Ruim</v>
      </c>
      <c r="EP45" s="17" t="str">
        <f>IF(VLOOKUP(BP45,Fundamentus!A:U,12,FALSE)&lt;2,"Subvalorizada",IF(VLOOKUP(BP45,Fundamentus!A:U,12,FALSE)&lt;6,"Muita barata",IF(VLOOKUP(BP45,Fundamentus!A:U,12,FALSE)&lt;6,"Barata",IF(VLOOKUP(BP45,Fundamentus!A:U,12,FALSE)&lt;8,"Atrativa",IF(VLOOKUP(BP45,Fundamentus!A:U,12,FALSE)&gt;8,"Supervalorizada","n/a")))))</f>
        <v>Subvalorizada</v>
      </c>
      <c r="ER45" s="17" t="str">
        <f>IF(VLOOKUP(BP45,Fundamentus!A:U,17,FALSE)&lt;0.1,"Fraco retorno",IF(VLOOKUP(BP45,Fundamentus!A:U,17,FALSE)&gt;0.1,"Bom retorno","n/a"))</f>
        <v>Bom retorno</v>
      </c>
      <c r="ES45" s="17" t="str">
        <f>IF(VLOOKUP(BP45,Fundamentus!A:U,16,FALSE)&lt;0.1,"Ineficiente",IF(VLOOKUP(BP45,Fundamentus!A:U,16,FALSE)&gt;0.1,"Eficiente","n/a"))</f>
        <v>Ineficiente</v>
      </c>
      <c r="ET45" s="33" t="str">
        <f>IF(VLOOKUP(BP45,Fundamentus!A:U,16,FALSE)&lt;0.1,"Oper. Ineficiente",IF(VLOOKUP(BP45,Fundamentus!A:U,16,FALSE)&gt;0.1,"Oper.Eficiente","n/a"))</f>
        <v>Oper. Ineficiente</v>
      </c>
      <c r="EU45" s="34">
        <f>VLOOKUP(BP45,Fundamentus!A:U,14,FALSE)</f>
        <v>0</v>
      </c>
      <c r="EV45" s="17" t="str">
        <f>IF(VLOOKUP(BP45,Fundamentus!A:U,21,FALSE)&lt;0,"Negativo",IF(VLOOKUP(BP45,Fundamentus!A:U,21,FALSE)&lt;0.05,"Fraco",IF(VLOOKUP(BP45,Fundamentus!A:U,21,FALSE)&lt;0.1,"Bom",IF(VLOOKUP(BP45,Fundamentus!A:U,21,FALSE)&gt;0.1,"Muito bom","n/a"))))</f>
        <v>Fraco</v>
      </c>
      <c r="EX45" s="29" t="str">
        <f>IF(VLOOKUP(BP45,Fundamentus!A:U,15,FALSE)&gt;1,"Bom",IF(VLOOKUP(BP45,Fundamentus!A:U,15,FALSE)&lt;1,"Ruim","n/a"))</f>
        <v>Ruim</v>
      </c>
      <c r="EY45" s="17" t="str">
        <f>IF(VLOOKUP(BP45,Fundamentus!A:U,20,FALSE)&lt;0.5,"Baixa",IF(VLOOKUP(BP45,Fundamentus!A:U,20,FALSE)&lt;1,"Moderada",IF(VLOOKUP(BP45,Fundamentus!A:U,20,FALSE)&lt;2,"Alerta",IF(VLOOKUP(BP45,Fundamentus!A:U,20,FALSE)&gt;2,"Alta","n/a"))))</f>
        <v>Baixa</v>
      </c>
    </row>
    <row r="46" spans="1:155" s="2" customFormat="1" ht="11.25" x14ac:dyDescent="0.2">
      <c r="A46" s="4">
        <v>11.34</v>
      </c>
      <c r="B46" s="4">
        <v>11.25</v>
      </c>
      <c r="C46" s="4">
        <v>11.46</v>
      </c>
      <c r="D46" s="4">
        <v>10.96</v>
      </c>
      <c r="E46" s="4">
        <v>10.85</v>
      </c>
      <c r="F46" s="4">
        <v>10.26</v>
      </c>
      <c r="G46" s="4">
        <v>10.199999999999999</v>
      </c>
      <c r="H46" s="4">
        <v>10.43</v>
      </c>
      <c r="I46" s="4">
        <v>10.7</v>
      </c>
      <c r="J46" s="4">
        <v>10.8</v>
      </c>
      <c r="K46" s="4">
        <v>10.85</v>
      </c>
      <c r="L46" s="4">
        <v>11.11</v>
      </c>
      <c r="M46" s="4">
        <v>10.71</v>
      </c>
      <c r="N46" s="4">
        <v>10.41</v>
      </c>
      <c r="O46" s="4">
        <v>10.33</v>
      </c>
      <c r="P46" s="4">
        <v>10.33</v>
      </c>
      <c r="Q46" s="4">
        <v>10.72</v>
      </c>
      <c r="R46" s="4">
        <v>10.55</v>
      </c>
      <c r="S46" s="4">
        <v>10.73</v>
      </c>
      <c r="T46" s="4">
        <v>10.88</v>
      </c>
      <c r="U46" s="4">
        <v>10.69</v>
      </c>
      <c r="V46" s="4">
        <v>10.76</v>
      </c>
      <c r="W46" s="4">
        <v>10.48</v>
      </c>
      <c r="X46" s="4">
        <v>10.28</v>
      </c>
      <c r="Y46" s="4">
        <v>10.11</v>
      </c>
      <c r="Z46" s="4">
        <v>10.06</v>
      </c>
      <c r="AA46" s="4">
        <v>10.01</v>
      </c>
      <c r="AB46" s="4">
        <v>10.95</v>
      </c>
      <c r="AC46" s="4">
        <v>10.51</v>
      </c>
      <c r="AD46" s="4">
        <v>10.96</v>
      </c>
      <c r="AE46" s="4">
        <v>11.38</v>
      </c>
      <c r="AF46" s="4">
        <v>11.45</v>
      </c>
      <c r="AG46" s="4">
        <v>11.29</v>
      </c>
      <c r="AH46" s="4">
        <v>10.62</v>
      </c>
      <c r="AI46" s="4">
        <v>10.4</v>
      </c>
      <c r="AJ46" s="4">
        <v>9.94</v>
      </c>
      <c r="AK46" s="4">
        <v>9.6</v>
      </c>
      <c r="AL46" s="4">
        <v>9.77</v>
      </c>
      <c r="AM46" s="4">
        <v>9.8699999999999992</v>
      </c>
      <c r="AN46" s="4">
        <v>9.7899999999999991</v>
      </c>
      <c r="AO46" s="4">
        <v>9.64</v>
      </c>
      <c r="AP46" s="4">
        <v>9.6999999999999993</v>
      </c>
      <c r="AQ46" s="4">
        <v>9.18</v>
      </c>
      <c r="AR46" s="4">
        <v>9.33</v>
      </c>
      <c r="AS46" s="4">
        <v>9.4</v>
      </c>
      <c r="AT46" s="4">
        <v>9.61</v>
      </c>
      <c r="AU46" s="4">
        <v>9.5749999999999993</v>
      </c>
      <c r="AV46" s="4">
        <v>9.5</v>
      </c>
      <c r="AW46" s="4">
        <v>8.61</v>
      </c>
      <c r="AX46" s="4">
        <v>8.5</v>
      </c>
      <c r="AY46" s="12">
        <v>8.6199999999999992</v>
      </c>
      <c r="AZ46" s="12">
        <v>8.67</v>
      </c>
      <c r="BA46" s="12">
        <v>8.67</v>
      </c>
      <c r="BB46" s="15">
        <v>8.6</v>
      </c>
      <c r="BC46" s="52">
        <v>8.81</v>
      </c>
      <c r="BD46" s="52">
        <v>8.7200000000000006</v>
      </c>
      <c r="BE46" s="52">
        <v>8.57</v>
      </c>
      <c r="BF46" s="52">
        <v>9.25</v>
      </c>
      <c r="BG46" s="67">
        <v>9.2200000000000006</v>
      </c>
      <c r="BH46" s="52">
        <v>9.2799999999999994</v>
      </c>
      <c r="BI46" s="52">
        <v>8.86</v>
      </c>
      <c r="BJ46" s="52">
        <v>9.39</v>
      </c>
      <c r="BK46" s="52">
        <v>9.31</v>
      </c>
      <c r="BL46" s="52">
        <v>9</v>
      </c>
      <c r="BM46" s="52">
        <v>9.52</v>
      </c>
      <c r="BN46" s="52">
        <v>9.09</v>
      </c>
      <c r="BO46" s="52" cm="1">
        <f t="array" aca="1" ref="BO46" ca="1">_FV(EC46,"Preço")</f>
        <v>9.09</v>
      </c>
      <c r="BP46" s="69" t="s">
        <v>43</v>
      </c>
      <c r="BQ46" s="36" cm="1">
        <f t="array" aca="1" ref="BQ46" ca="1">_FV(EC46,"Média de volume",TRUE)</f>
        <v>7844830</v>
      </c>
      <c r="BR46" s="36">
        <v>32500</v>
      </c>
      <c r="BS46" s="36" cm="1">
        <f t="array" aca="1" ref="BS46" ca="1">_FV(EC46,"Volume")</f>
        <v>32500</v>
      </c>
      <c r="BT46" s="24" cm="1">
        <f t="array" aca="1" ref="BT46" ca="1">_FV(EC46,"Beta")</f>
        <v>0.69350000000000001</v>
      </c>
      <c r="BU46" s="71" cm="1">
        <f t="array" aca="1" ref="BU46" ca="1">_FV(EC46,"Variação (%)",TRUE)</f>
        <v>-3.0917E-2</v>
      </c>
      <c r="BW46" s="17" cm="1">
        <f t="array" aca="1" ref="BW46" ca="1">_FV(EC46,"Baixo")</f>
        <v>9.0299999999999994</v>
      </c>
      <c r="BX46" s="17" cm="1">
        <f t="array" aca="1" ref="BX46" ca="1">_FV(EC46,"Alto")</f>
        <v>9.41</v>
      </c>
      <c r="BY46" s="24"/>
      <c r="BZ46" s="63">
        <f ca="1">SQRT(22.5*(BO46/VLOOKUP(BP46,Fundamentus!A:U,3,FALSE))*(BO46/VLOOKUP(BP46,Fundamentus!A:U,4,FALSE)))</f>
        <v>21.004283751841182</v>
      </c>
      <c r="CB46" s="62">
        <f t="shared" ca="1" si="24"/>
        <v>0</v>
      </c>
      <c r="CC46" s="8"/>
      <c r="CD46" s="61">
        <f t="shared" si="25"/>
        <v>8.5</v>
      </c>
      <c r="CE46" s="61">
        <f t="shared" si="26"/>
        <v>11.46</v>
      </c>
      <c r="CF46" s="61">
        <f t="shared" si="27"/>
        <v>10.006287878787877</v>
      </c>
      <c r="CG46" s="14"/>
      <c r="CH46" s="35">
        <f t="shared" si="1"/>
        <v>8.8118759991856361</v>
      </c>
      <c r="CI46" s="15">
        <f t="shared" si="28"/>
        <v>9.1949999999999932</v>
      </c>
      <c r="CJ46" s="35">
        <f t="shared" si="2"/>
        <v>9.5781240008143502</v>
      </c>
      <c r="CL46" s="14"/>
      <c r="CM46" s="17">
        <f t="shared" si="3"/>
        <v>4.9466666666666654</v>
      </c>
      <c r="CN46" s="17">
        <f t="shared" si="4"/>
        <v>6.7233333333333327</v>
      </c>
      <c r="CO46" s="17">
        <f t="shared" si="5"/>
        <v>7.9066666666666663</v>
      </c>
      <c r="CP46" s="38">
        <f t="shared" si="29"/>
        <v>9.6833333333333336</v>
      </c>
      <c r="CQ46" s="17">
        <f t="shared" si="6"/>
        <v>10.866666666666667</v>
      </c>
      <c r="CR46" s="17">
        <f t="shared" si="7"/>
        <v>12.643333333333334</v>
      </c>
      <c r="CS46" s="17">
        <f t="shared" si="8"/>
        <v>13.826666666666668</v>
      </c>
      <c r="CT46" s="2" cm="1">
        <f t="array" aca="1" ref="CT46" ca="1">MAX(_xlfn._xlws.FILTER(CM46:CS46,CM46:CS46&lt;BO46))</f>
        <v>7.9066666666666663</v>
      </c>
      <c r="CU46" s="2" cm="1">
        <f t="array" aca="1" ref="CU46" ca="1">MIN(_xlfn._xlws.FILTER($CM46:$CS46,$CM46:$CS46&gt;BO46))</f>
        <v>9.6833333333333336</v>
      </c>
      <c r="CV46" s="16">
        <f t="shared" ca="1" si="63"/>
        <v>0.22470489038785835</v>
      </c>
      <c r="CW46" s="20">
        <f t="shared" ca="1" si="64"/>
        <v>-0.11235244519392917</v>
      </c>
      <c r="CX46" s="20">
        <f t="shared" ca="1" si="65"/>
        <v>-7.490163012928612E-2</v>
      </c>
      <c r="CY46" s="20">
        <f t="shared" ca="1" si="66"/>
        <v>-4.4940978077571671E-2</v>
      </c>
      <c r="CZ46" s="20">
        <f t="shared" ca="1" si="67"/>
        <v>-2.4967210043095371E-2</v>
      </c>
      <c r="DA46" s="20">
        <f t="shared" ca="1" si="68"/>
        <v>-1.3217934728697549E-2</v>
      </c>
      <c r="DB46" s="20">
        <f t="shared" ca="1" si="69"/>
        <v>-6.8092391026623742E-3</v>
      </c>
      <c r="DC46" s="20">
        <f t="shared" ca="1" si="70"/>
        <v>-3.4569983136593591E-3</v>
      </c>
      <c r="DD46" s="21">
        <f t="shared" ca="1" si="71"/>
        <v>3.4569983136593591E-3</v>
      </c>
      <c r="DE46" s="21">
        <f t="shared" ca="1" si="72"/>
        <v>6.8092391026623742E-3</v>
      </c>
      <c r="DF46" s="21">
        <f t="shared" ca="1" si="73"/>
        <v>1.3217934728697549E-2</v>
      </c>
      <c r="DG46" s="21">
        <f t="shared" ca="1" si="74"/>
        <v>2.4967210043095371E-2</v>
      </c>
      <c r="DH46" s="21">
        <f t="shared" ca="1" si="75"/>
        <v>4.4940978077571671E-2</v>
      </c>
      <c r="DI46" s="21">
        <f t="shared" ca="1" si="76"/>
        <v>7.490163012928612E-2</v>
      </c>
      <c r="DJ46" s="21">
        <f t="shared" ca="1" si="77"/>
        <v>0.11235244519392917</v>
      </c>
      <c r="DL46" s="16" cm="1">
        <f t="array" aca="1" ref="DL46" ca="1">MAX(_xlfn._xlws.FILTER(CW46:DJ46,CW46:DJ46&lt;BU46))</f>
        <v>-4.4940978077571671E-2</v>
      </c>
      <c r="DM46" s="16" cm="1">
        <f t="array" aca="1" ref="DM46" ca="1">MIN(_xlfn._xlws.FILTER(CW46:DJ46,CW46:DJ46&gt;BU46))</f>
        <v>-2.4967210043095371E-2</v>
      </c>
      <c r="DN46" s="2" cm="1">
        <f t="array" aca="1" ref="DN46" ca="1">_FV(EC46,"Fechamento anterior",TRUE)</f>
        <v>9.3800000000000008</v>
      </c>
      <c r="DO46" s="28">
        <f t="shared" ca="1" si="15"/>
        <v>0.70212759573880512</v>
      </c>
      <c r="DP46" s="15">
        <f t="shared" ca="1" si="78"/>
        <v>8.9584536256323783</v>
      </c>
      <c r="DQ46" s="15">
        <f t="shared" ca="1" si="79"/>
        <v>9.1458075697957657</v>
      </c>
      <c r="DR46" s="9"/>
      <c r="DS46" s="9"/>
      <c r="DT46" s="9"/>
      <c r="DU46" s="89">
        <v>1.2039026882347391E-2</v>
      </c>
      <c r="DV46" s="89">
        <f t="shared" ca="1" si="18"/>
        <v>1.99737680344763E-2</v>
      </c>
      <c r="DW46" s="72">
        <f t="shared" ca="1" si="19"/>
        <v>-0.27406270496447216</v>
      </c>
      <c r="DX46" s="37"/>
      <c r="DY46" s="35">
        <f t="shared" si="39"/>
        <v>0.19156200040717888</v>
      </c>
      <c r="DZ46" s="56"/>
      <c r="EA46" s="56"/>
      <c r="EC46" s="2" t="e" vm="46">
        <v>#VALUE!</v>
      </c>
      <c r="EE46" s="10" cm="1">
        <f t="array" aca="1" ref="EE46" ca="1">_FV(EC46,"Ações em circulação",TRUE)</f>
        <v>993705800</v>
      </c>
      <c r="EF46" s="18">
        <f>VLOOKUP(BP46,Fundamentus!A:U,5,FALSE)</f>
        <v>0.14099999999999999</v>
      </c>
      <c r="EG46" s="2">
        <f t="shared" ca="1" si="20"/>
        <v>64062310085.106392</v>
      </c>
      <c r="EH46" s="17">
        <v>3113428270.1361704</v>
      </c>
      <c r="EI46" s="17">
        <f t="shared" ca="1" si="21"/>
        <v>3113428270.1361704</v>
      </c>
      <c r="EK46" s="16">
        <f t="shared" ca="1" si="22"/>
        <v>0</v>
      </c>
      <c r="EL46" s="32" t="str">
        <f>IF(VLOOKUP(BP46,Fundamentus!A:U,3,FALSE)&lt;15,"Bom",IF(VLOOKUP(BP46,Fundamentus!A:U,3,FALSE)&gt;15,"Ruim","n/a"))</f>
        <v>Bom</v>
      </c>
      <c r="EM46" s="28" t="str">
        <f>IF(VLOOKUP(BP46,Fundamentus!A:U,4,FALSE)&lt;1,"Baixo",IF(VLOOKUP(BP46,Fundamentus!A:U,4,FALSE)&lt;1.5,"Moderado",IF(VLOOKUP(BP46,Fundamentus!A:U,4,FALSE)&gt;1.5,"Alto","n/a")))</f>
        <v>Baixo</v>
      </c>
      <c r="EN46" s="17" t="str">
        <f>IF(VLOOKUP(BP46,Fundamentus!A:U,8,FALSE)&lt;0,"Risco elevado",IF(VLOOKUP(BP46,Fundamentus!A:U,8,FALSE)&lt;1,"Saudável",IF(VLOOKUP(BP46,Fundamentus!A:U,8,FALSE)&lt;3,"Estável",IF(VLOOKUP(BP46,Fundamentus!A:U,8,FALSE)&gt;3,"Alerta","n/a"))))</f>
        <v>Saudável</v>
      </c>
      <c r="EO46" s="28" t="str">
        <f t="shared" si="23"/>
        <v>Ruim</v>
      </c>
      <c r="EP46" s="17" t="str">
        <f>IF(VLOOKUP(BP46,Fundamentus!A:U,12,FALSE)&lt;2,"Subvalorizada",IF(VLOOKUP(BP46,Fundamentus!A:U,12,FALSE)&lt;6,"Muita barata",IF(VLOOKUP(BP46,Fundamentus!A:U,12,FALSE)&lt;6,"Barata",IF(VLOOKUP(BP46,Fundamentus!A:U,12,FALSE)&lt;8,"Atrativa",IF(VLOOKUP(BP46,Fundamentus!A:U,12,FALSE)&gt;8,"Supervalorizada","n/a")))))</f>
        <v>Subvalorizada</v>
      </c>
      <c r="ER46" s="17" t="str">
        <f>IF(VLOOKUP(BP46,Fundamentus!A:U,17,FALSE)&lt;0.1,"Fraco retorno",IF(VLOOKUP(BP46,Fundamentus!A:U,17,FALSE)&gt;0.1,"Bom retorno","n/a"))</f>
        <v>Fraco retorno</v>
      </c>
      <c r="ES46" s="17" t="str">
        <f>IF(VLOOKUP(BP46,Fundamentus!A:U,16,FALSE)&lt;0.1,"Ineficiente",IF(VLOOKUP(BP46,Fundamentus!A:U,16,FALSE)&gt;0.1,"Eficiente","n/a"))</f>
        <v>Ineficiente</v>
      </c>
      <c r="ET46" s="33" t="str">
        <f>IF(VLOOKUP(BP46,Fundamentus!A:U,16,FALSE)&lt;0.1,"Oper. Ineficiente",IF(VLOOKUP(BP46,Fundamentus!A:U,16,FALSE)&gt;0.1,"Oper.Eficiente","n/a"))</f>
        <v>Oper. Ineficiente</v>
      </c>
      <c r="EU46" s="34">
        <f>VLOOKUP(BP46,Fundamentus!A:U,14,FALSE)</f>
        <v>4.8599999999999997E-2</v>
      </c>
      <c r="EV46" s="17" t="str">
        <f>IF(VLOOKUP(BP46,Fundamentus!A:U,21,FALSE)&lt;0,"Negativo",IF(VLOOKUP(BP46,Fundamentus!A:U,21,FALSE)&lt;0.05,"Fraco",IF(VLOOKUP(BP46,Fundamentus!A:U,21,FALSE)&lt;0.1,"Bom",IF(VLOOKUP(BP46,Fundamentus!A:U,21,FALSE)&gt;0.1,"Muito bom","n/a"))))</f>
        <v>Fraco</v>
      </c>
      <c r="EX46" s="29" t="str">
        <f>IF(VLOOKUP(BP46,Fundamentus!A:U,15,FALSE)&gt;1,"Bom",IF(VLOOKUP(BP46,Fundamentus!A:U,15,FALSE)&lt;1,"Ruim","n/a"))</f>
        <v>Bom</v>
      </c>
      <c r="EY46" s="17" t="str">
        <f>IF(VLOOKUP(BP46,Fundamentus!A:U,20,FALSE)&lt;0.5,"Baixa",IF(VLOOKUP(BP46,Fundamentus!A:U,20,FALSE)&lt;1,"Moderada",IF(VLOOKUP(BP46,Fundamentus!A:U,20,FALSE)&lt;2,"Alerta",IF(VLOOKUP(BP46,Fundamentus!A:U,20,FALSE)&gt;2,"Alta","n/a"))))</f>
        <v>Moderada</v>
      </c>
    </row>
    <row r="47" spans="1:155" s="5" customFormat="1" ht="11.25" x14ac:dyDescent="0.2">
      <c r="A47" s="4">
        <v>32.200000000000003</v>
      </c>
      <c r="B47" s="4">
        <v>32.28</v>
      </c>
      <c r="C47" s="4">
        <v>33.229999999999997</v>
      </c>
      <c r="D47" s="4">
        <v>31.56</v>
      </c>
      <c r="E47" s="4">
        <v>31</v>
      </c>
      <c r="F47" s="4">
        <v>31.45</v>
      </c>
      <c r="G47" s="4">
        <v>31.14</v>
      </c>
      <c r="H47" s="4">
        <v>31.88</v>
      </c>
      <c r="I47" s="4">
        <v>32.270000000000003</v>
      </c>
      <c r="J47" s="4">
        <v>32.93</v>
      </c>
      <c r="K47" s="4">
        <v>33.46</v>
      </c>
      <c r="L47" s="4">
        <v>34.26</v>
      </c>
      <c r="M47" s="4">
        <v>34.24</v>
      </c>
      <c r="N47" s="4">
        <v>32.950000000000003</v>
      </c>
      <c r="O47" s="4">
        <v>34.56</v>
      </c>
      <c r="P47" s="4">
        <v>36.89</v>
      </c>
      <c r="Q47" s="4">
        <v>36.46</v>
      </c>
      <c r="R47" s="4">
        <v>36.700000000000003</v>
      </c>
      <c r="S47" s="4">
        <v>36.950000000000003</v>
      </c>
      <c r="T47" s="4">
        <v>37.01</v>
      </c>
      <c r="U47" s="4">
        <v>35.93</v>
      </c>
      <c r="V47" s="4">
        <v>36.76</v>
      </c>
      <c r="W47" s="4">
        <v>34.909999999999997</v>
      </c>
      <c r="X47" s="4">
        <v>34.630000000000003</v>
      </c>
      <c r="Y47" s="4">
        <v>35.1</v>
      </c>
      <c r="Z47" s="4">
        <v>35.299999999999997</v>
      </c>
      <c r="AA47" s="4">
        <v>34.81</v>
      </c>
      <c r="AB47" s="4">
        <v>35.090000000000003</v>
      </c>
      <c r="AC47" s="4">
        <v>34.42</v>
      </c>
      <c r="AD47" s="4">
        <v>34.11</v>
      </c>
      <c r="AE47" s="4">
        <v>32.6</v>
      </c>
      <c r="AF47" s="4">
        <v>32.700000000000003</v>
      </c>
      <c r="AG47" s="4">
        <v>32.06</v>
      </c>
      <c r="AH47" s="4">
        <v>30.89</v>
      </c>
      <c r="AI47" s="4">
        <v>30.78</v>
      </c>
      <c r="AJ47" s="4">
        <v>29.82</v>
      </c>
      <c r="AK47" s="4">
        <v>30.64</v>
      </c>
      <c r="AL47" s="4">
        <v>32.35</v>
      </c>
      <c r="AM47" s="4">
        <v>32.46</v>
      </c>
      <c r="AN47" s="4">
        <v>33.81</v>
      </c>
      <c r="AO47" s="4">
        <v>33.92</v>
      </c>
      <c r="AP47" s="4">
        <v>34.770000000000003</v>
      </c>
      <c r="AQ47" s="4">
        <v>32.700000000000003</v>
      </c>
      <c r="AR47" s="4">
        <v>31.94</v>
      </c>
      <c r="AS47" s="4">
        <v>32.6</v>
      </c>
      <c r="AT47" s="4">
        <v>34.31</v>
      </c>
      <c r="AU47" s="4">
        <v>32.14</v>
      </c>
      <c r="AV47" s="4">
        <v>31.69</v>
      </c>
      <c r="AW47" s="4">
        <v>31.14</v>
      </c>
      <c r="AX47" s="4">
        <v>31.81</v>
      </c>
      <c r="AY47" s="12">
        <v>32.75</v>
      </c>
      <c r="AZ47" s="12">
        <v>34.619999999999997</v>
      </c>
      <c r="BA47" s="12">
        <v>35.58</v>
      </c>
      <c r="BB47" s="15">
        <v>35.32</v>
      </c>
      <c r="BC47" s="52">
        <v>37.68</v>
      </c>
      <c r="BD47" s="52">
        <v>37.72</v>
      </c>
      <c r="BE47" s="52">
        <v>37.43</v>
      </c>
      <c r="BF47" s="52">
        <v>36.58</v>
      </c>
      <c r="BG47" s="67">
        <v>36.17</v>
      </c>
      <c r="BH47" s="52">
        <v>36.64</v>
      </c>
      <c r="BI47" s="52">
        <v>36.270000000000003</v>
      </c>
      <c r="BJ47" s="52">
        <v>37.729999999999997</v>
      </c>
      <c r="BK47" s="52">
        <v>34.96</v>
      </c>
      <c r="BL47" s="52">
        <v>35.07</v>
      </c>
      <c r="BM47" s="52">
        <v>35.21</v>
      </c>
      <c r="BN47" s="52">
        <v>34.93</v>
      </c>
      <c r="BO47" s="52" cm="1">
        <f t="array" aca="1" ref="BO47" ca="1">_FV(EC47,"Preço")</f>
        <v>34.93</v>
      </c>
      <c r="BP47" s="69" t="s">
        <v>44</v>
      </c>
      <c r="BQ47" s="36" cm="1">
        <f t="array" aca="1" ref="BQ47" ca="1">_FV(EC47,"Média de volume",TRUE)</f>
        <v>16620300</v>
      </c>
      <c r="BR47" s="36">
        <v>15993400</v>
      </c>
      <c r="BS47" s="36" cm="1">
        <f t="array" aca="1" ref="BS47" ca="1">_FV(EC47,"Volume")</f>
        <v>15993400</v>
      </c>
      <c r="BT47" s="24" cm="1">
        <f t="array" aca="1" ref="BT47" ca="1">_FV(EC47,"Beta")</f>
        <v>1.2478</v>
      </c>
      <c r="BU47" s="71" cm="1">
        <f t="array" aca="1" ref="BU47" ca="1">_FV(EC47,"Variação (%)",TRUE)</f>
        <v>-5.9760000000000004E-3</v>
      </c>
      <c r="BW47" s="17" cm="1">
        <f t="array" aca="1" ref="BW47" ca="1">_FV(EC47,"Baixo")</f>
        <v>34.74</v>
      </c>
      <c r="BX47" s="17" cm="1">
        <f t="array" aca="1" ref="BX47" ca="1">_FV(EC47,"Alto")</f>
        <v>35.76</v>
      </c>
      <c r="BY47" s="24"/>
      <c r="BZ47" s="63">
        <f ca="1">SQRT(22.5*(BO47/VLOOKUP(BP47,Fundamentus!A:U,3,FALSE))*(BO47/VLOOKUP(BP47,Fundamentus!A:U,4,FALSE)))</f>
        <v>37.922315151545583</v>
      </c>
      <c r="CB47" s="62">
        <f t="shared" ca="1" si="24"/>
        <v>0</v>
      </c>
      <c r="CC47" s="8"/>
      <c r="CD47" s="61">
        <f t="shared" si="25"/>
        <v>29.82</v>
      </c>
      <c r="CE47" s="61">
        <f t="shared" si="26"/>
        <v>37.729999999999997</v>
      </c>
      <c r="CF47" s="61">
        <f t="shared" si="27"/>
        <v>34.004090909090905</v>
      </c>
      <c r="CG47" s="14"/>
      <c r="CH47" s="35">
        <f t="shared" si="1"/>
        <v>32.896037286102427</v>
      </c>
      <c r="CI47" s="15">
        <f t="shared" si="28"/>
        <v>35.055</v>
      </c>
      <c r="CJ47" s="35">
        <f t="shared" si="2"/>
        <v>37.213962713897573</v>
      </c>
      <c r="CL47" s="14"/>
      <c r="CM47" s="17">
        <f t="shared" si="3"/>
        <v>22.68</v>
      </c>
      <c r="CN47" s="17">
        <f t="shared" si="4"/>
        <v>26.25</v>
      </c>
      <c r="CO47" s="17">
        <f t="shared" si="5"/>
        <v>30.589999999999996</v>
      </c>
      <c r="CP47" s="38">
        <f t="shared" si="29"/>
        <v>34.159999999999997</v>
      </c>
      <c r="CQ47" s="17">
        <f t="shared" si="6"/>
        <v>38.499999999999993</v>
      </c>
      <c r="CR47" s="17">
        <f t="shared" si="7"/>
        <v>42.069999999999993</v>
      </c>
      <c r="CS47" s="17">
        <f t="shared" si="8"/>
        <v>46.409999999999989</v>
      </c>
      <c r="CT47" s="2" cm="1">
        <f t="array" aca="1" ref="CT47" ca="1">MAX(_xlfn._xlws.FILTER(CM47:CS47,CM47:CS47&lt;BO47))</f>
        <v>34.159999999999997</v>
      </c>
      <c r="CU47" s="2" cm="1">
        <f t="array" aca="1" ref="CU47" ca="1">MIN(_xlfn._xlws.FILTER($CM47:$CS47,$CM47:$CS47&gt;BO47))</f>
        <v>38.499999999999993</v>
      </c>
      <c r="CV47" s="16">
        <f t="shared" ca="1" si="63"/>
        <v>0.12704918032786883</v>
      </c>
      <c r="CW47" s="20">
        <f t="shared" ca="1" si="64"/>
        <v>-6.3524590163934413E-2</v>
      </c>
      <c r="CX47" s="20">
        <f t="shared" ca="1" si="65"/>
        <v>-4.2349726775956276E-2</v>
      </c>
      <c r="CY47" s="20">
        <f t="shared" ca="1" si="66"/>
        <v>-2.5409836065573767E-2</v>
      </c>
      <c r="CZ47" s="20">
        <f t="shared" ca="1" si="67"/>
        <v>-1.4116575591985425E-2</v>
      </c>
      <c r="DA47" s="20">
        <f t="shared" ca="1" si="68"/>
        <v>-7.4734811957569902E-3</v>
      </c>
      <c r="DB47" s="20">
        <f t="shared" ca="1" si="69"/>
        <v>-3.8499751614505706E-3</v>
      </c>
      <c r="DC47" s="20">
        <f t="shared" ca="1" si="70"/>
        <v>-1.9546027742749052E-3</v>
      </c>
      <c r="DD47" s="21">
        <f t="shared" ca="1" si="71"/>
        <v>1.9546027742749052E-3</v>
      </c>
      <c r="DE47" s="21">
        <f t="shared" ca="1" si="72"/>
        <v>3.8499751614505706E-3</v>
      </c>
      <c r="DF47" s="21">
        <f t="shared" ca="1" si="73"/>
        <v>7.4734811957569902E-3</v>
      </c>
      <c r="DG47" s="21">
        <f t="shared" ca="1" si="74"/>
        <v>1.4116575591985425E-2</v>
      </c>
      <c r="DH47" s="21">
        <f t="shared" ca="1" si="75"/>
        <v>2.5409836065573767E-2</v>
      </c>
      <c r="DI47" s="21">
        <f t="shared" ca="1" si="76"/>
        <v>4.2349726775956276E-2</v>
      </c>
      <c r="DJ47" s="21">
        <f t="shared" ca="1" si="77"/>
        <v>6.3524590163934413E-2</v>
      </c>
      <c r="DL47" s="16" cm="1">
        <f t="array" aca="1" ref="DL47" ca="1">MAX(_xlfn._xlws.FILTER(CW47:DJ47,CW47:DJ47&lt;BU47))</f>
        <v>-7.4734811957569902E-3</v>
      </c>
      <c r="DM47" s="16" cm="1">
        <f t="array" aca="1" ref="DM47" ca="1">MIN(_xlfn._xlws.FILTER(CW47:DJ47,CW47:DJ47&gt;BU47))</f>
        <v>-3.8499751614505706E-3</v>
      </c>
      <c r="DN47" s="2" cm="1">
        <f t="array" aca="1" ref="DN47" ca="1">_FV(EC47,"Fechamento anterior",TRUE)</f>
        <v>35.14</v>
      </c>
      <c r="DO47" s="28">
        <f t="shared" ca="1" si="15"/>
        <v>0.4132421925202393</v>
      </c>
      <c r="DP47" s="15">
        <f t="shared" ca="1" si="78"/>
        <v>34.8773818707811</v>
      </c>
      <c r="DQ47" s="15">
        <f t="shared" ca="1" si="79"/>
        <v>35.004711872826626</v>
      </c>
      <c r="DR47" s="9"/>
      <c r="DS47" s="9"/>
      <c r="DT47" s="9"/>
      <c r="DU47" s="89">
        <v>3.6574719184461614E-3</v>
      </c>
      <c r="DV47" s="89">
        <f t="shared" ca="1" si="18"/>
        <v>3.6235060343064195E-3</v>
      </c>
      <c r="DW47" s="72">
        <f t="shared" ca="1" si="19"/>
        <v>-5.7898174523976678E-2</v>
      </c>
      <c r="DX47" s="37"/>
      <c r="DY47" s="35">
        <f t="shared" si="39"/>
        <v>1.0794813569487882</v>
      </c>
      <c r="DZ47" s="56"/>
      <c r="EA47" s="56"/>
      <c r="EC47" s="5" t="e" vm="47">
        <v>#VALUE!</v>
      </c>
      <c r="EE47" s="10" cm="1">
        <f t="array" aca="1" ref="EE47" ca="1">_FV(EC47,"Ações em circulação",TRUE)</f>
        <v>10784550000</v>
      </c>
      <c r="EF47" s="18">
        <f>VLOOKUP(BP47,Fundamentus!A:U,5,FALSE)</f>
        <v>0</v>
      </c>
      <c r="EG47" s="2" t="e">
        <f t="shared" ca="1" si="20"/>
        <v>#DIV/0!</v>
      </c>
      <c r="EH47" s="17" t="e">
        <v>#DIV/0!</v>
      </c>
      <c r="EI47" s="17" t="e">
        <f t="shared" ca="1" si="21"/>
        <v>#DIV/0!</v>
      </c>
      <c r="EJ47" s="2"/>
      <c r="EK47" s="16" t="e">
        <f t="shared" ca="1" si="22"/>
        <v>#DIV/0!</v>
      </c>
      <c r="EL47" s="32" t="str">
        <f>IF(VLOOKUP(BP47,Fundamentus!A:U,3,FALSE)&lt;15,"Bom",IF(VLOOKUP(BP47,Fundamentus!A:U,3,FALSE)&gt;15,"Ruim","n/a"))</f>
        <v>Bom</v>
      </c>
      <c r="EM47" s="28" t="str">
        <f>IF(VLOOKUP(BP47,Fundamentus!A:U,4,FALSE)&lt;1,"Baixo",IF(VLOOKUP(BP47,Fundamentus!A:U,4,FALSE)&lt;1.5,"Moderado",IF(VLOOKUP(BP47,Fundamentus!A:U,4,FALSE)&gt;1.5,"Alto","n/a")))</f>
        <v>Alto</v>
      </c>
      <c r="EN47" s="17" t="str">
        <f>IF(VLOOKUP(BP47,Fundamentus!A:U,8,FALSE)&lt;0,"Risco elevado",IF(VLOOKUP(BP47,Fundamentus!A:U,8,FALSE)&lt;1,"Saudável",IF(VLOOKUP(BP47,Fundamentus!A:U,8,FALSE)&lt;3,"Estável",IF(VLOOKUP(BP47,Fundamentus!A:U,8,FALSE)&gt;3,"Alerta","n/a"))))</f>
        <v>Saudável</v>
      </c>
      <c r="EO47" s="28" t="str">
        <f t="shared" si="23"/>
        <v>Ruim</v>
      </c>
      <c r="EP47" s="17" t="str">
        <f>IF(VLOOKUP(BP47,Fundamentus!A:U,12,FALSE)&lt;2,"Subvalorizada",IF(VLOOKUP(BP47,Fundamentus!A:U,12,FALSE)&lt;6,"Muita barata",IF(VLOOKUP(BP47,Fundamentus!A:U,12,FALSE)&lt;6,"Barata",IF(VLOOKUP(BP47,Fundamentus!A:U,12,FALSE)&lt;8,"Atrativa",IF(VLOOKUP(BP47,Fundamentus!A:U,12,FALSE)&gt;8,"Supervalorizada","n/a")))))</f>
        <v>Subvalorizada</v>
      </c>
      <c r="EQ47" s="2"/>
      <c r="ER47" s="17" t="str">
        <f>IF(VLOOKUP(BP47,Fundamentus!A:U,17,FALSE)&lt;0.1,"Fraco retorno",IF(VLOOKUP(BP47,Fundamentus!A:U,17,FALSE)&gt;0.1,"Bom retorno","n/a"))</f>
        <v>Bom retorno</v>
      </c>
      <c r="ES47" s="17" t="str">
        <f>IF(VLOOKUP(BP47,Fundamentus!A:U,16,FALSE)&lt;0.1,"Ineficiente",IF(VLOOKUP(BP47,Fundamentus!A:U,16,FALSE)&gt;0.1,"Eficiente","n/a"))</f>
        <v>Ineficiente</v>
      </c>
      <c r="ET47" s="33" t="str">
        <f>IF(VLOOKUP(BP47,Fundamentus!A:U,16,FALSE)&lt;0.1,"Oper. Ineficiente",IF(VLOOKUP(BP47,Fundamentus!A:U,16,FALSE)&gt;0.1,"Oper.Eficiente","n/a"))</f>
        <v>Oper. Ineficiente</v>
      </c>
      <c r="EU47" s="34">
        <f>VLOOKUP(BP47,Fundamentus!A:U,14,FALSE)</f>
        <v>0</v>
      </c>
      <c r="EV47" s="17" t="str">
        <f>IF(VLOOKUP(BP47,Fundamentus!A:U,21,FALSE)&lt;0,"Negativo",IF(VLOOKUP(BP47,Fundamentus!A:U,21,FALSE)&lt;0.05,"Fraco",IF(VLOOKUP(BP47,Fundamentus!A:U,21,FALSE)&lt;0.1,"Bom",IF(VLOOKUP(BP47,Fundamentus!A:U,21,FALSE)&gt;0.1,"Muito bom","n/a"))))</f>
        <v>Muito bom</v>
      </c>
      <c r="EX47" s="29" t="str">
        <f>IF(VLOOKUP(BP47,Fundamentus!A:U,15,FALSE)&gt;1,"Bom",IF(VLOOKUP(BP47,Fundamentus!A:U,15,FALSE)&lt;1,"Ruim","n/a"))</f>
        <v>Ruim</v>
      </c>
      <c r="EY47" s="17" t="str">
        <f>IF(VLOOKUP(BP47,Fundamentus!A:U,20,FALSE)&lt;0.5,"Baixa",IF(VLOOKUP(BP47,Fundamentus!A:U,20,FALSE)&lt;1,"Moderada",IF(VLOOKUP(BP47,Fundamentus!A:U,20,FALSE)&lt;2,"Alerta",IF(VLOOKUP(BP47,Fundamentus!A:U,20,FALSE)&gt;2,"Alta","n/a"))))</f>
        <v>Baixa</v>
      </c>
    </row>
    <row r="48" spans="1:155" s="2" customFormat="1" ht="11.25" x14ac:dyDescent="0.2">
      <c r="A48" s="4">
        <v>25.67</v>
      </c>
      <c r="B48" s="4">
        <v>25.7</v>
      </c>
      <c r="C48" s="4">
        <v>25.37</v>
      </c>
      <c r="D48" s="4">
        <v>25.34</v>
      </c>
      <c r="E48" s="4">
        <v>25.29</v>
      </c>
      <c r="F48" s="4">
        <v>24.85</v>
      </c>
      <c r="G48" s="4">
        <v>25.54</v>
      </c>
      <c r="H48" s="4">
        <v>25.43</v>
      </c>
      <c r="I48" s="4">
        <v>25.64</v>
      </c>
      <c r="J48" s="4">
        <v>27.06</v>
      </c>
      <c r="K48" s="4">
        <v>27.19</v>
      </c>
      <c r="L48" s="4">
        <v>27.87</v>
      </c>
      <c r="M48" s="4">
        <v>26.66</v>
      </c>
      <c r="N48" s="4">
        <v>25.65</v>
      </c>
      <c r="O48" s="4">
        <v>26.13</v>
      </c>
      <c r="P48" s="4">
        <v>25.95</v>
      </c>
      <c r="Q48" s="4">
        <v>25.9</v>
      </c>
      <c r="R48" s="4">
        <v>25.91</v>
      </c>
      <c r="S48" s="4">
        <v>26.54</v>
      </c>
      <c r="T48" s="4">
        <v>26.62</v>
      </c>
      <c r="U48" s="4">
        <v>24.83</v>
      </c>
      <c r="V48" s="4">
        <v>25.58</v>
      </c>
      <c r="W48" s="4">
        <v>25.15</v>
      </c>
      <c r="X48" s="4">
        <v>24.74</v>
      </c>
      <c r="Y48" s="4">
        <v>24.59</v>
      </c>
      <c r="Z48" s="4">
        <v>23.53</v>
      </c>
      <c r="AA48" s="4">
        <v>23.5</v>
      </c>
      <c r="AB48" s="4">
        <v>23.85</v>
      </c>
      <c r="AC48" s="4">
        <v>23.92</v>
      </c>
      <c r="AD48" s="4">
        <v>24</v>
      </c>
      <c r="AE48" s="4">
        <v>23.63</v>
      </c>
      <c r="AF48" s="4">
        <v>23.05</v>
      </c>
      <c r="AG48" s="4">
        <v>23.47</v>
      </c>
      <c r="AH48" s="4">
        <v>22.55</v>
      </c>
      <c r="AI48" s="4">
        <v>22.29</v>
      </c>
      <c r="AJ48" s="4">
        <v>22.23</v>
      </c>
      <c r="AK48" s="4">
        <v>22.18</v>
      </c>
      <c r="AL48" s="4">
        <v>22.43</v>
      </c>
      <c r="AM48" s="4">
        <v>22.22</v>
      </c>
      <c r="AN48" s="4">
        <v>22.67</v>
      </c>
      <c r="AO48" s="4">
        <v>22.01</v>
      </c>
      <c r="AP48" s="4">
        <v>21.82</v>
      </c>
      <c r="AQ48" s="4">
        <v>20.98</v>
      </c>
      <c r="AR48" s="4">
        <v>20.77</v>
      </c>
      <c r="AS48" s="4">
        <v>21.47</v>
      </c>
      <c r="AT48" s="4">
        <v>21.41</v>
      </c>
      <c r="AU48" s="4">
        <v>22.21</v>
      </c>
      <c r="AV48" s="4">
        <v>22.01</v>
      </c>
      <c r="AW48" s="4">
        <v>22.39</v>
      </c>
      <c r="AX48" s="4">
        <v>22.04</v>
      </c>
      <c r="AY48" s="12">
        <v>21.18</v>
      </c>
      <c r="AZ48" s="12">
        <v>21.56</v>
      </c>
      <c r="BA48" s="12">
        <v>21.18</v>
      </c>
      <c r="BB48" s="15">
        <v>20.27</v>
      </c>
      <c r="BC48" s="52">
        <v>21.41</v>
      </c>
      <c r="BD48" s="52">
        <v>21.3</v>
      </c>
      <c r="BE48" s="52">
        <v>21.02</v>
      </c>
      <c r="BF48" s="52">
        <v>21.25</v>
      </c>
      <c r="BG48" s="67">
        <v>20.82</v>
      </c>
      <c r="BH48" s="52">
        <v>20.76</v>
      </c>
      <c r="BI48" s="52">
        <v>20.05</v>
      </c>
      <c r="BJ48" s="52">
        <v>20.68</v>
      </c>
      <c r="BK48" s="52">
        <v>20.8</v>
      </c>
      <c r="BL48" s="52">
        <v>20.49</v>
      </c>
      <c r="BM48" s="52">
        <v>20.32</v>
      </c>
      <c r="BN48" s="52">
        <v>20.48</v>
      </c>
      <c r="BO48" s="52" cm="1">
        <f t="array" aca="1" ref="BO48" ca="1">_FV(EC48,"Preço")</f>
        <v>20.48</v>
      </c>
      <c r="BP48" s="69" t="s">
        <v>45</v>
      </c>
      <c r="BQ48" s="36" cm="1">
        <f t="array" aca="1" ref="BQ48" ca="1">_FV(EC48,"Média de volume",TRUE)</f>
        <v>128690</v>
      </c>
      <c r="BR48" s="36">
        <v>127200</v>
      </c>
      <c r="BS48" s="36" cm="1">
        <f t="array" aca="1" ref="BS48" ca="1">_FV(EC48,"Volume")</f>
        <v>127200</v>
      </c>
      <c r="BT48" s="24" cm="1">
        <f t="array" aca="1" ref="BT48" ca="1">_FV(EC48,"Beta")</f>
        <v>0.67979999999999996</v>
      </c>
      <c r="BU48" s="71" cm="1">
        <f t="array" aca="1" ref="BU48" ca="1">_FV(EC48,"Variação (%)",TRUE)</f>
        <v>-4.3750000000000004E-3</v>
      </c>
      <c r="BW48" s="17" cm="1">
        <f t="array" aca="1" ref="BW48" ca="1">_FV(EC48,"Baixo")</f>
        <v>20.28</v>
      </c>
      <c r="BX48" s="17" cm="1">
        <f t="array" aca="1" ref="BX48" ca="1">_FV(EC48,"Alto")</f>
        <v>20.68</v>
      </c>
      <c r="BY48" s="24"/>
      <c r="BZ48" s="63">
        <f ca="1">SQRT(22.5*(BO48/VLOOKUP(BP48,Fundamentus!A:U,3,FALSE))*(BO48/VLOOKUP(BP48,Fundamentus!A:U,4,FALSE)))</f>
        <v>37.880918192964238</v>
      </c>
      <c r="CB48" s="62">
        <f t="shared" ca="1" si="24"/>
        <v>0</v>
      </c>
      <c r="CC48" s="8"/>
      <c r="CD48" s="61">
        <f t="shared" si="25"/>
        <v>20.05</v>
      </c>
      <c r="CE48" s="61">
        <f t="shared" si="26"/>
        <v>27.87</v>
      </c>
      <c r="CF48" s="61">
        <f t="shared" si="27"/>
        <v>23.354545454545452</v>
      </c>
      <c r="CG48" s="14"/>
      <c r="CH48" s="35">
        <f t="shared" si="1"/>
        <v>19.904476528391836</v>
      </c>
      <c r="CI48" s="15">
        <f t="shared" si="28"/>
        <v>20.240000000000009</v>
      </c>
      <c r="CJ48" s="35">
        <f t="shared" si="2"/>
        <v>20.575523471608182</v>
      </c>
      <c r="CL48" s="14"/>
      <c r="CM48" s="17">
        <f t="shared" si="3"/>
        <v>9.91</v>
      </c>
      <c r="CN48" s="17">
        <f t="shared" si="4"/>
        <v>14.98</v>
      </c>
      <c r="CO48" s="17">
        <f t="shared" si="5"/>
        <v>17.73</v>
      </c>
      <c r="CP48" s="38">
        <f t="shared" si="29"/>
        <v>22.8</v>
      </c>
      <c r="CQ48" s="17">
        <f t="shared" si="6"/>
        <v>25.55</v>
      </c>
      <c r="CR48" s="17">
        <f t="shared" si="7"/>
        <v>30.62</v>
      </c>
      <c r="CS48" s="17">
        <f t="shared" si="8"/>
        <v>33.370000000000005</v>
      </c>
      <c r="CT48" s="2" cm="1">
        <f t="array" aca="1" ref="CT48" ca="1">MAX(_xlfn._xlws.FILTER(CM48:CS48,CM48:CS48&lt;BO48))</f>
        <v>17.73</v>
      </c>
      <c r="CU48" s="2" cm="1">
        <f t="array" aca="1" ref="CU48" ca="1">MIN(_xlfn._xlws.FILTER($CM48:$CS48,$CM48:$CS48&gt;BO48))</f>
        <v>22.8</v>
      </c>
      <c r="CV48" s="16">
        <f t="shared" ca="1" si="63"/>
        <v>0.28595600676818944</v>
      </c>
      <c r="CW48" s="20">
        <f t="shared" ca="1" si="64"/>
        <v>-0.14297800338409472</v>
      </c>
      <c r="CX48" s="20">
        <f t="shared" ca="1" si="65"/>
        <v>-9.5318668922729818E-2</v>
      </c>
      <c r="CY48" s="20">
        <f t="shared" ca="1" si="66"/>
        <v>-5.7191201353637887E-2</v>
      </c>
      <c r="CZ48" s="20">
        <f t="shared" ca="1" si="67"/>
        <v>-3.1772889640909935E-2</v>
      </c>
      <c r="DA48" s="20">
        <f t="shared" ca="1" si="68"/>
        <v>-1.6820941574599377E-2</v>
      </c>
      <c r="DB48" s="20">
        <f t="shared" ca="1" si="69"/>
        <v>-8.6653335384299836E-3</v>
      </c>
      <c r="DC48" s="20">
        <f t="shared" ca="1" si="70"/>
        <v>-4.3993231810490682E-3</v>
      </c>
      <c r="DD48" s="21">
        <f t="shared" ca="1" si="71"/>
        <v>4.3993231810490682E-3</v>
      </c>
      <c r="DE48" s="21">
        <f t="shared" ca="1" si="72"/>
        <v>8.6653335384299836E-3</v>
      </c>
      <c r="DF48" s="21">
        <f t="shared" ca="1" si="73"/>
        <v>1.6820941574599377E-2</v>
      </c>
      <c r="DG48" s="21">
        <f t="shared" ca="1" si="74"/>
        <v>3.1772889640909935E-2</v>
      </c>
      <c r="DH48" s="21">
        <f t="shared" ca="1" si="75"/>
        <v>5.7191201353637887E-2</v>
      </c>
      <c r="DI48" s="21">
        <f t="shared" ca="1" si="76"/>
        <v>9.5318668922729818E-2</v>
      </c>
      <c r="DJ48" s="21">
        <f t="shared" ca="1" si="77"/>
        <v>0.14297800338409472</v>
      </c>
      <c r="DL48" s="16" cm="1">
        <f t="array" aca="1" ref="DL48" ca="1">MAX(_xlfn._xlws.FILTER(CW48:DJ48,CW48:DJ48&lt;BU48))</f>
        <v>-4.3993231810490682E-3</v>
      </c>
      <c r="DM48" s="16" cm="1">
        <f t="array" aca="1" ref="DM48" ca="1">MIN(_xlfn._xlws.FILTER(CW48:DJ48,CW48:DJ48&gt;BU48))</f>
        <v>4.3993231810490682E-3</v>
      </c>
      <c r="DN48" s="2" cm="1">
        <f t="array" aca="1" ref="DN48" ca="1">_FV(EC48,"Fechamento anterior",TRUE)</f>
        <v>20.57</v>
      </c>
      <c r="DO48" s="28">
        <f t="shared" ca="1" si="15"/>
        <v>2.729890430427422E-3</v>
      </c>
      <c r="DP48" s="15">
        <f t="shared" ca="1" si="78"/>
        <v>20.479505922165821</v>
      </c>
      <c r="DQ48" s="15">
        <f t="shared" ca="1" si="79"/>
        <v>20.66049407783418</v>
      </c>
      <c r="DR48" s="9"/>
      <c r="DS48" s="9"/>
      <c r="DT48" s="9"/>
      <c r="DU48" s="89">
        <v>8.7895566189120089E-3</v>
      </c>
      <c r="DV48" s="89">
        <f t="shared" ca="1" si="18"/>
        <v>8.7986463620981364E-3</v>
      </c>
      <c r="DW48" s="72">
        <f t="shared" ca="1" si="19"/>
        <v>0.71530018108618376</v>
      </c>
      <c r="DX48" s="37"/>
      <c r="DY48" s="35">
        <f t="shared" si="39"/>
        <v>0.16776173580408629</v>
      </c>
      <c r="DZ48" s="56"/>
      <c r="EA48" s="56"/>
      <c r="EC48" s="2" t="e" vm="48">
        <v>#VALUE!</v>
      </c>
      <c r="EE48" s="10" cm="1">
        <f t="array" aca="1" ref="EE48" ca="1">_FV(EC48,"Ações em circulação",TRUE)</f>
        <v>102683400</v>
      </c>
      <c r="EF48" s="18">
        <f>VLOOKUP(BP48,Fundamentus!A:U,5,FALSE)</f>
        <v>1.548</v>
      </c>
      <c r="EG48" s="2">
        <f t="shared" ca="1" si="20"/>
        <v>1358498728.6821704</v>
      </c>
      <c r="EH48" s="17">
        <v>310416959.50387597</v>
      </c>
      <c r="EI48" s="17">
        <f t="shared" ca="1" si="21"/>
        <v>310416959.50387597</v>
      </c>
      <c r="EK48" s="16">
        <f t="shared" ca="1" si="22"/>
        <v>0</v>
      </c>
      <c r="EL48" s="32" t="str">
        <f>IF(VLOOKUP(BP48,Fundamentus!A:U,3,FALSE)&lt;15,"Bom",IF(VLOOKUP(BP48,Fundamentus!A:U,3,FALSE)&gt;15,"Ruim","n/a"))</f>
        <v>Bom</v>
      </c>
      <c r="EM48" s="28" t="str">
        <f>IF(VLOOKUP(BP48,Fundamentus!A:U,4,FALSE)&lt;1,"Baixo",IF(VLOOKUP(BP48,Fundamentus!A:U,4,FALSE)&lt;1.5,"Moderado",IF(VLOOKUP(BP48,Fundamentus!A:U,4,FALSE)&gt;1.5,"Alto","n/a")))</f>
        <v>Baixo</v>
      </c>
      <c r="EN48" s="17" t="str">
        <f>IF(VLOOKUP(BP48,Fundamentus!A:U,8,FALSE)&lt;0,"Risco elevado",IF(VLOOKUP(BP48,Fundamentus!A:U,8,FALSE)&lt;1,"Saudável",IF(VLOOKUP(BP48,Fundamentus!A:U,8,FALSE)&lt;3,"Estável",IF(VLOOKUP(BP48,Fundamentus!A:U,8,FALSE)&gt;3,"Alerta","n/a"))))</f>
        <v>Alerta</v>
      </c>
      <c r="EO48" s="28" t="str">
        <f t="shared" si="23"/>
        <v>Bom</v>
      </c>
      <c r="EP48" s="17" t="str">
        <f>IF(VLOOKUP(BP48,Fundamentus!A:U,12,FALSE)&lt;2,"Subvalorizada",IF(VLOOKUP(BP48,Fundamentus!A:U,12,FALSE)&lt;6,"Muita barata",IF(VLOOKUP(BP48,Fundamentus!A:U,12,FALSE)&lt;6,"Barata",IF(VLOOKUP(BP48,Fundamentus!A:U,12,FALSE)&lt;8,"Atrativa",IF(VLOOKUP(BP48,Fundamentus!A:U,12,FALSE)&gt;8,"Supervalorizada","n/a")))))</f>
        <v>Atrativa</v>
      </c>
      <c r="ER48" s="17" t="str">
        <f>IF(VLOOKUP(BP48,Fundamentus!A:U,17,FALSE)&lt;0.1,"Fraco retorno",IF(VLOOKUP(BP48,Fundamentus!A:U,17,FALSE)&gt;0.1,"Bom retorno","n/a"))</f>
        <v>Bom retorno</v>
      </c>
      <c r="ES48" s="17" t="str">
        <f>IF(VLOOKUP(BP48,Fundamentus!A:U,16,FALSE)&lt;0.1,"Ineficiente",IF(VLOOKUP(BP48,Fundamentus!A:U,16,FALSE)&gt;0.1,"Eficiente","n/a"))</f>
        <v>Eficiente</v>
      </c>
      <c r="ET48" s="33" t="str">
        <f>IF(VLOOKUP(BP48,Fundamentus!A:U,16,FALSE)&lt;0.1,"Oper. Ineficiente",IF(VLOOKUP(BP48,Fundamentus!A:U,16,FALSE)&gt;0.1,"Oper.Eficiente","n/a"))</f>
        <v>Oper.Eficiente</v>
      </c>
      <c r="EU48" s="34">
        <f>VLOOKUP(BP48,Fundamentus!A:U,14,FALSE)</f>
        <v>0.22850000000000001</v>
      </c>
      <c r="EV48" s="17" t="str">
        <f>IF(VLOOKUP(BP48,Fundamentus!A:U,21,FALSE)&lt;0,"Negativo",IF(VLOOKUP(BP48,Fundamentus!A:U,21,FALSE)&lt;0.05,"Fraco",IF(VLOOKUP(BP48,Fundamentus!A:U,21,FALSE)&lt;0.1,"Bom",IF(VLOOKUP(BP48,Fundamentus!A:U,21,FALSE)&gt;0.1,"Muito bom","n/a"))))</f>
        <v>Negativo</v>
      </c>
      <c r="EX48" s="29" t="str">
        <f>IF(VLOOKUP(BP48,Fundamentus!A:U,15,FALSE)&gt;1,"Bom",IF(VLOOKUP(BP48,Fundamentus!A:U,15,FALSE)&lt;1,"Ruim","n/a"))</f>
        <v>Bom</v>
      </c>
      <c r="EY48" s="17" t="str">
        <f>IF(VLOOKUP(BP48,Fundamentus!A:U,20,FALSE)&lt;0.5,"Baixa",IF(VLOOKUP(BP48,Fundamentus!A:U,20,FALSE)&lt;1,"Moderada",IF(VLOOKUP(BP48,Fundamentus!A:U,20,FALSE)&lt;2,"Alerta",IF(VLOOKUP(BP48,Fundamentus!A:U,20,FALSE)&gt;2,"Alta","n/a"))))</f>
        <v>Moderada</v>
      </c>
    </row>
    <row r="49" spans="1:155" s="2" customFormat="1" ht="11.25" x14ac:dyDescent="0.2">
      <c r="A49" s="4">
        <v>3.35</v>
      </c>
      <c r="B49" s="4">
        <v>3.29</v>
      </c>
      <c r="C49" s="4">
        <v>3.38</v>
      </c>
      <c r="D49" s="4">
        <v>3.3</v>
      </c>
      <c r="E49" s="4">
        <v>3.35</v>
      </c>
      <c r="F49" s="4">
        <v>3.26</v>
      </c>
      <c r="G49" s="4">
        <v>3.19</v>
      </c>
      <c r="H49" s="4">
        <v>3.1</v>
      </c>
      <c r="I49" s="4">
        <v>3.42</v>
      </c>
      <c r="J49" s="4">
        <v>3.49</v>
      </c>
      <c r="K49" s="4">
        <v>3.58</v>
      </c>
      <c r="L49" s="4">
        <v>3.73</v>
      </c>
      <c r="M49" s="4">
        <v>3.48</v>
      </c>
      <c r="N49" s="4">
        <v>3.46</v>
      </c>
      <c r="O49" s="4">
        <v>3.55</v>
      </c>
      <c r="P49" s="4">
        <v>3.68</v>
      </c>
      <c r="Q49" s="4">
        <v>3.79</v>
      </c>
      <c r="R49" s="4">
        <v>3.79</v>
      </c>
      <c r="S49" s="4">
        <v>3.84</v>
      </c>
      <c r="T49" s="4">
        <v>3.91</v>
      </c>
      <c r="U49" s="4">
        <v>3.86</v>
      </c>
      <c r="V49" s="4">
        <v>3.78</v>
      </c>
      <c r="W49" s="4">
        <v>4.0999999999999996</v>
      </c>
      <c r="X49" s="4">
        <v>4.24</v>
      </c>
      <c r="Y49" s="4">
        <v>4.2</v>
      </c>
      <c r="Z49" s="4">
        <v>4.09</v>
      </c>
      <c r="AA49" s="4">
        <v>3.98</v>
      </c>
      <c r="AB49" s="4">
        <v>4.0199999999999996</v>
      </c>
      <c r="AC49" s="4">
        <v>4</v>
      </c>
      <c r="AD49" s="4">
        <v>4.01</v>
      </c>
      <c r="AE49" s="4">
        <v>4.05</v>
      </c>
      <c r="AF49" s="4">
        <v>3.94</v>
      </c>
      <c r="AG49" s="4">
        <v>3.89</v>
      </c>
      <c r="AH49" s="4">
        <v>3.71</v>
      </c>
      <c r="AI49" s="4">
        <v>3.76</v>
      </c>
      <c r="AJ49" s="4">
        <v>3.73</v>
      </c>
      <c r="AK49" s="4">
        <v>3.73</v>
      </c>
      <c r="AL49" s="4">
        <v>3.72</v>
      </c>
      <c r="AM49" s="4">
        <v>3.73</v>
      </c>
      <c r="AN49" s="4">
        <v>3.78</v>
      </c>
      <c r="AO49" s="4">
        <v>3.85</v>
      </c>
      <c r="AP49" s="4">
        <v>3.94</v>
      </c>
      <c r="AQ49" s="4">
        <v>3.84</v>
      </c>
      <c r="AR49" s="4">
        <v>3.86</v>
      </c>
      <c r="AS49" s="4">
        <v>3.84</v>
      </c>
      <c r="AT49" s="4">
        <v>3.79</v>
      </c>
      <c r="AU49" s="4">
        <v>3.79</v>
      </c>
      <c r="AV49" s="4">
        <v>3.9</v>
      </c>
      <c r="AW49" s="4">
        <v>3.69</v>
      </c>
      <c r="AX49" s="4">
        <v>3.67</v>
      </c>
      <c r="AY49" s="12">
        <v>3.74</v>
      </c>
      <c r="AZ49" s="12">
        <v>3.8</v>
      </c>
      <c r="BA49" s="12">
        <v>3.81</v>
      </c>
      <c r="BB49" s="15">
        <v>3.78</v>
      </c>
      <c r="BC49" s="52">
        <v>3.87</v>
      </c>
      <c r="BD49" s="52">
        <v>3.75</v>
      </c>
      <c r="BE49" s="52">
        <v>3.71</v>
      </c>
      <c r="BF49" s="52">
        <v>3.71</v>
      </c>
      <c r="BG49" s="67">
        <v>3.67</v>
      </c>
      <c r="BH49" s="52">
        <v>3.66</v>
      </c>
      <c r="BI49" s="52">
        <v>3.68</v>
      </c>
      <c r="BJ49" s="52">
        <v>3.72</v>
      </c>
      <c r="BK49" s="52">
        <v>3.64</v>
      </c>
      <c r="BL49" s="52">
        <v>3.68</v>
      </c>
      <c r="BM49" s="52">
        <v>3.5</v>
      </c>
      <c r="BN49" s="52">
        <v>3.43</v>
      </c>
      <c r="BO49" s="52" cm="1">
        <f t="array" aca="1" ref="BO49" ca="1">_FV(EC49,"Preço")</f>
        <v>3.43</v>
      </c>
      <c r="BP49" s="69" t="s">
        <v>46</v>
      </c>
      <c r="BQ49" s="36" cm="1">
        <f t="array" aca="1" ref="BQ49" ca="1">_FV(EC49,"Média de volume",TRUE)</f>
        <v>781700</v>
      </c>
      <c r="BR49" s="36">
        <v>392100</v>
      </c>
      <c r="BS49" s="36" cm="1">
        <f t="array" aca="1" ref="BS49" ca="1">_FV(EC49,"Volume")</f>
        <v>392100</v>
      </c>
      <c r="BT49" s="24" cm="1">
        <f t="array" aca="1" ref="BT49" ca="1">_FV(EC49,"Beta")</f>
        <v>1.266</v>
      </c>
      <c r="BU49" s="71" cm="1">
        <f t="array" aca="1" ref="BU49" ca="1">_FV(EC49,"Variação (%)",TRUE)</f>
        <v>-5.7970000000000001E-3</v>
      </c>
      <c r="BW49" s="17" cm="1">
        <f t="array" aca="1" ref="BW49" ca="1">_FV(EC49,"Baixo")</f>
        <v>3.43</v>
      </c>
      <c r="BX49" s="17" cm="1">
        <f t="array" aca="1" ref="BX49" ca="1">_FV(EC49,"Alto")</f>
        <v>3.48</v>
      </c>
      <c r="BY49" s="24"/>
      <c r="BZ49" s="63">
        <f ca="1">SQRT(22.5*(BO49/VLOOKUP(BP49,Fundamentus!A:U,3,FALSE))*(BO49/VLOOKUP(BP49,Fundamentus!A:U,4,FALSE)))</f>
        <v>9.6081823912631386</v>
      </c>
      <c r="CB49" s="62">
        <f t="shared" ca="1" si="24"/>
        <v>0</v>
      </c>
      <c r="CC49" s="8"/>
      <c r="CD49" s="61">
        <f t="shared" si="25"/>
        <v>3.1</v>
      </c>
      <c r="CE49" s="61">
        <f t="shared" si="26"/>
        <v>4.24</v>
      </c>
      <c r="CF49" s="61">
        <f t="shared" si="27"/>
        <v>3.7209090909090903</v>
      </c>
      <c r="CG49" s="14"/>
      <c r="CH49" s="35">
        <f t="shared" si="1"/>
        <v>3.1388756006225358</v>
      </c>
      <c r="CI49" s="15">
        <f t="shared" si="28"/>
        <v>3.3599999999999</v>
      </c>
      <c r="CJ49" s="35">
        <f t="shared" si="2"/>
        <v>3.5811243993772641</v>
      </c>
      <c r="CL49" s="14"/>
      <c r="CM49" s="17">
        <f t="shared" si="3"/>
        <v>1.7999999999999994</v>
      </c>
      <c r="CN49" s="17">
        <f t="shared" si="4"/>
        <v>2.4499999999999997</v>
      </c>
      <c r="CO49" s="17">
        <f t="shared" si="5"/>
        <v>2.9399999999999995</v>
      </c>
      <c r="CP49" s="38">
        <f t="shared" si="29"/>
        <v>3.59</v>
      </c>
      <c r="CQ49" s="17">
        <f t="shared" si="6"/>
        <v>4.08</v>
      </c>
      <c r="CR49" s="17">
        <f t="shared" si="7"/>
        <v>4.7300000000000004</v>
      </c>
      <c r="CS49" s="17">
        <f t="shared" si="8"/>
        <v>5.22</v>
      </c>
      <c r="CT49" s="2" cm="1">
        <f t="array" aca="1" ref="CT49" ca="1">MAX(_xlfn._xlws.FILTER(CM49:CS49,CM49:CS49&lt;BO49))</f>
        <v>2.9399999999999995</v>
      </c>
      <c r="CU49" s="2" cm="1">
        <f t="array" aca="1" ref="CU49" ca="1">MIN(_xlfn._xlws.FILTER($CM49:$CS49,$CM49:$CS49&gt;BO49))</f>
        <v>3.59</v>
      </c>
      <c r="CV49" s="16">
        <f t="shared" ca="1" si="63"/>
        <v>0.22108843537414979</v>
      </c>
      <c r="CW49" s="20">
        <f t="shared" ca="1" si="64"/>
        <v>-0.1105442176870749</v>
      </c>
      <c r="CX49" s="20">
        <f t="shared" ca="1" si="65"/>
        <v>-7.3696145124716603E-2</v>
      </c>
      <c r="CY49" s="20">
        <f t="shared" ca="1" si="66"/>
        <v>-4.421768707482996E-2</v>
      </c>
      <c r="CZ49" s="20">
        <f t="shared" ca="1" si="67"/>
        <v>-2.4565381708238868E-2</v>
      </c>
      <c r="DA49" s="20">
        <f t="shared" ca="1" si="68"/>
        <v>-1.3005202080832341E-2</v>
      </c>
      <c r="DB49" s="20">
        <f t="shared" ca="1" si="69"/>
        <v>-6.699649556792418E-3</v>
      </c>
      <c r="DC49" s="20">
        <f t="shared" ca="1" si="70"/>
        <v>-3.4013605442176891E-3</v>
      </c>
      <c r="DD49" s="21">
        <f t="shared" ca="1" si="71"/>
        <v>3.4013605442176891E-3</v>
      </c>
      <c r="DE49" s="21">
        <f t="shared" ca="1" si="72"/>
        <v>6.699649556792418E-3</v>
      </c>
      <c r="DF49" s="21">
        <f t="shared" ca="1" si="73"/>
        <v>1.3005202080832341E-2</v>
      </c>
      <c r="DG49" s="21">
        <f t="shared" ca="1" si="74"/>
        <v>2.4565381708238868E-2</v>
      </c>
      <c r="DH49" s="21">
        <f t="shared" ca="1" si="75"/>
        <v>4.421768707482996E-2</v>
      </c>
      <c r="DI49" s="21">
        <f t="shared" ca="1" si="76"/>
        <v>7.3696145124716603E-2</v>
      </c>
      <c r="DJ49" s="21">
        <f t="shared" ca="1" si="77"/>
        <v>0.1105442176870749</v>
      </c>
      <c r="DL49" s="16" cm="1">
        <f t="array" aca="1" ref="DL49" ca="1">MAX(_xlfn._xlws.FILTER(CW49:DJ49,CW49:DJ49&lt;BU49))</f>
        <v>-6.699649556792418E-3</v>
      </c>
      <c r="DM49" s="16" cm="1">
        <f t="array" aca="1" ref="DM49" ca="1">MIN(_xlfn._xlws.FILTER(CW49:DJ49,CW49:DJ49&gt;BU49))</f>
        <v>-3.4013605442176891E-3</v>
      </c>
      <c r="DN49" s="2" cm="1">
        <f t="array" aca="1" ref="DN49" ca="1">_FV(EC49,"Fechamento anterior",TRUE)</f>
        <v>3.45</v>
      </c>
      <c r="DO49" s="28">
        <f t="shared" ca="1" si="15"/>
        <v>0.27364130434783901</v>
      </c>
      <c r="DP49" s="15">
        <f t="shared" ca="1" si="78"/>
        <v>3.4268862090290662</v>
      </c>
      <c r="DQ49" s="15">
        <f t="shared" ca="1" si="79"/>
        <v>3.4382653061224491</v>
      </c>
      <c r="DR49" s="9"/>
      <c r="DS49" s="9"/>
      <c r="DT49" s="9"/>
      <c r="DU49" s="89">
        <v>1.6213638531235097E-2</v>
      </c>
      <c r="DV49" s="89">
        <f t="shared" ca="1" si="18"/>
        <v>3.2982890125747288E-3</v>
      </c>
      <c r="DW49" s="72">
        <f t="shared" ca="1" si="19"/>
        <v>0.31656388981588746</v>
      </c>
      <c r="DX49" s="37"/>
      <c r="DY49" s="35">
        <f t="shared" si="39"/>
        <v>0.11056219968868206</v>
      </c>
      <c r="DZ49" s="56"/>
      <c r="EA49" s="56"/>
      <c r="EC49" s="2" t="e" vm="49">
        <v>#VALUE!</v>
      </c>
      <c r="EE49" s="10" cm="1">
        <f t="array" aca="1" ref="EE49" ca="1">_FV(EC49,"Ações em circulação",TRUE)</f>
        <v>216251500</v>
      </c>
      <c r="EF49" s="18">
        <f>VLOOKUP(BP49,Fundamentus!A:U,5,FALSE)</f>
        <v>0</v>
      </c>
      <c r="EG49" s="2" t="e">
        <f t="shared" ca="1" si="20"/>
        <v>#DIV/0!</v>
      </c>
      <c r="EH49" s="17" t="e">
        <v>#DIV/0!</v>
      </c>
      <c r="EI49" s="17" t="e">
        <f t="shared" ca="1" si="21"/>
        <v>#DIV/0!</v>
      </c>
      <c r="EK49" s="16" t="e">
        <f t="shared" ca="1" si="22"/>
        <v>#DIV/0!</v>
      </c>
      <c r="EL49" s="32" t="str">
        <f>IF(VLOOKUP(BP49,Fundamentus!A:U,3,FALSE)&lt;15,"Bom",IF(VLOOKUP(BP49,Fundamentus!A:U,3,FALSE)&gt;15,"Ruim","n/a"))</f>
        <v>Bom</v>
      </c>
      <c r="EM49" s="28" t="str">
        <f>IF(VLOOKUP(BP49,Fundamentus!A:U,4,FALSE)&lt;1,"Baixo",IF(VLOOKUP(BP49,Fundamentus!A:U,4,FALSE)&lt;1.5,"Moderado",IF(VLOOKUP(BP49,Fundamentus!A:U,4,FALSE)&gt;1.5,"Alto","n/a")))</f>
        <v>Baixo</v>
      </c>
      <c r="EN49" s="17" t="str">
        <f>IF(VLOOKUP(BP49,Fundamentus!A:U,8,FALSE)&lt;0,"Risco elevado",IF(VLOOKUP(BP49,Fundamentus!A:U,8,FALSE)&lt;1,"Saudável",IF(VLOOKUP(BP49,Fundamentus!A:U,8,FALSE)&lt;3,"Estável",IF(VLOOKUP(BP49,Fundamentus!A:U,8,FALSE)&gt;3,"Alerta","n/a"))))</f>
        <v>Saudável</v>
      </c>
      <c r="EO49" s="28" t="str">
        <f t="shared" si="23"/>
        <v>Ruim</v>
      </c>
      <c r="EP49" s="17" t="str">
        <f>IF(VLOOKUP(BP49,Fundamentus!A:U,12,FALSE)&lt;2,"Subvalorizada",IF(VLOOKUP(BP49,Fundamentus!A:U,12,FALSE)&lt;6,"Muita barata",IF(VLOOKUP(BP49,Fundamentus!A:U,12,FALSE)&lt;6,"Barata",IF(VLOOKUP(BP49,Fundamentus!A:U,12,FALSE)&lt;8,"Atrativa",IF(VLOOKUP(BP49,Fundamentus!A:U,12,FALSE)&gt;8,"Supervalorizada","n/a")))))</f>
        <v>Subvalorizada</v>
      </c>
      <c r="ER49" s="17" t="str">
        <f>IF(VLOOKUP(BP49,Fundamentus!A:U,17,FALSE)&lt;0.1,"Fraco retorno",IF(VLOOKUP(BP49,Fundamentus!A:U,17,FALSE)&gt;0.1,"Bom retorno","n/a"))</f>
        <v>Bom retorno</v>
      </c>
      <c r="ES49" s="17" t="str">
        <f>IF(VLOOKUP(BP49,Fundamentus!A:U,16,FALSE)&lt;0.1,"Ineficiente",IF(VLOOKUP(BP49,Fundamentus!A:U,16,FALSE)&gt;0.1,"Eficiente","n/a"))</f>
        <v>Ineficiente</v>
      </c>
      <c r="ET49" s="33" t="str">
        <f>IF(VLOOKUP(BP49,Fundamentus!A:U,16,FALSE)&lt;0.1,"Oper. Ineficiente",IF(VLOOKUP(BP49,Fundamentus!A:U,16,FALSE)&gt;0.1,"Oper.Eficiente","n/a"))</f>
        <v>Oper. Ineficiente</v>
      </c>
      <c r="EU49" s="34">
        <f>VLOOKUP(BP49,Fundamentus!A:U,14,FALSE)</f>
        <v>0</v>
      </c>
      <c r="EV49" s="17" t="str">
        <f>IF(VLOOKUP(BP49,Fundamentus!A:U,21,FALSE)&lt;0,"Negativo",IF(VLOOKUP(BP49,Fundamentus!A:U,21,FALSE)&lt;0.05,"Fraco",IF(VLOOKUP(BP49,Fundamentus!A:U,21,FALSE)&lt;0.1,"Bom",IF(VLOOKUP(BP49,Fundamentus!A:U,21,FALSE)&gt;0.1,"Muito bom","n/a"))))</f>
        <v>Negativo</v>
      </c>
      <c r="EX49" s="29" t="str">
        <f>IF(VLOOKUP(BP49,Fundamentus!A:U,15,FALSE)&gt;1,"Bom",IF(VLOOKUP(BP49,Fundamentus!A:U,15,FALSE)&lt;1,"Ruim","n/a"))</f>
        <v>Ruim</v>
      </c>
      <c r="EY49" s="17" t="str">
        <f>IF(VLOOKUP(BP49,Fundamentus!A:U,20,FALSE)&lt;0.5,"Baixa",IF(VLOOKUP(BP49,Fundamentus!A:U,20,FALSE)&lt;1,"Moderada",IF(VLOOKUP(BP49,Fundamentus!A:U,20,FALSE)&lt;2,"Alerta",IF(VLOOKUP(BP49,Fundamentus!A:U,20,FALSE)&gt;2,"Alta","n/a"))))</f>
        <v>Baixa</v>
      </c>
    </row>
    <row r="50" spans="1:155" s="2" customFormat="1" ht="11.25" x14ac:dyDescent="0.2">
      <c r="A50" s="4">
        <v>15.58</v>
      </c>
      <c r="B50" s="4">
        <v>15.26</v>
      </c>
      <c r="C50" s="4">
        <v>14.82</v>
      </c>
      <c r="D50" s="4">
        <v>14.81</v>
      </c>
      <c r="E50" s="4">
        <v>15.49</v>
      </c>
      <c r="F50" s="4">
        <v>16</v>
      </c>
      <c r="G50" s="4">
        <v>15.91</v>
      </c>
      <c r="H50" s="4">
        <v>15.62</v>
      </c>
      <c r="I50" s="4">
        <v>14.41</v>
      </c>
      <c r="J50" s="4">
        <v>14.63</v>
      </c>
      <c r="K50" s="4">
        <v>14.23</v>
      </c>
      <c r="L50" s="4">
        <v>14.25</v>
      </c>
      <c r="M50" s="4">
        <v>14.7</v>
      </c>
      <c r="N50" s="4">
        <v>14.53</v>
      </c>
      <c r="O50" s="4">
        <v>13.16</v>
      </c>
      <c r="P50" s="4">
        <v>12</v>
      </c>
      <c r="Q50" s="4">
        <v>13.19</v>
      </c>
      <c r="R50" s="4">
        <v>12.7</v>
      </c>
      <c r="S50" s="4">
        <v>12.28</v>
      </c>
      <c r="T50" s="4">
        <v>13.79</v>
      </c>
      <c r="U50" s="4">
        <v>13.42</v>
      </c>
      <c r="V50" s="4">
        <v>12.75</v>
      </c>
      <c r="W50" s="4">
        <v>12.92</v>
      </c>
      <c r="X50" s="4">
        <v>13.39</v>
      </c>
      <c r="Y50" s="4">
        <v>13.17</v>
      </c>
      <c r="Z50" s="4">
        <v>13.16</v>
      </c>
      <c r="AA50" s="4">
        <v>12.47</v>
      </c>
      <c r="AB50" s="4">
        <v>12.23</v>
      </c>
      <c r="AC50" s="4">
        <v>11.35</v>
      </c>
      <c r="AD50" s="4">
        <v>11.3</v>
      </c>
      <c r="AE50" s="4">
        <v>10.97</v>
      </c>
      <c r="AF50" s="4">
        <v>12.6</v>
      </c>
      <c r="AG50" s="4">
        <v>13.6</v>
      </c>
      <c r="AH50" s="4">
        <v>13.22</v>
      </c>
      <c r="AI50" s="4">
        <v>13.99</v>
      </c>
      <c r="AJ50" s="4">
        <v>14.46</v>
      </c>
      <c r="AK50" s="4">
        <v>12.77</v>
      </c>
      <c r="AL50" s="4">
        <v>13.8</v>
      </c>
      <c r="AM50" s="4">
        <v>14.19</v>
      </c>
      <c r="AN50" s="4">
        <v>14.9</v>
      </c>
      <c r="AO50" s="4">
        <v>14</v>
      </c>
      <c r="AP50" s="4">
        <v>14.72</v>
      </c>
      <c r="AQ50" s="4">
        <v>15.31</v>
      </c>
      <c r="AR50" s="4">
        <v>15.7</v>
      </c>
      <c r="AS50" s="4">
        <v>15.22</v>
      </c>
      <c r="AT50" s="4">
        <v>15.8</v>
      </c>
      <c r="AU50" s="4">
        <v>14.675000000000001</v>
      </c>
      <c r="AV50" s="4">
        <v>14.48</v>
      </c>
      <c r="AW50" s="4">
        <v>14.7</v>
      </c>
      <c r="AX50" s="4">
        <v>14.16</v>
      </c>
      <c r="AY50" s="12">
        <v>14.27</v>
      </c>
      <c r="AZ50" s="12">
        <v>13.62</v>
      </c>
      <c r="BA50" s="12">
        <v>11.95</v>
      </c>
      <c r="BB50" s="15">
        <v>11.92</v>
      </c>
      <c r="BC50" s="52">
        <v>11.94</v>
      </c>
      <c r="BD50" s="52">
        <v>11.73</v>
      </c>
      <c r="BE50" s="52">
        <v>11.99</v>
      </c>
      <c r="BF50" s="52">
        <v>11.45</v>
      </c>
      <c r="BG50" s="67">
        <v>10.98</v>
      </c>
      <c r="BH50" s="52">
        <v>10.46</v>
      </c>
      <c r="BI50" s="52">
        <v>10.27</v>
      </c>
      <c r="BJ50" s="52">
        <v>10.44</v>
      </c>
      <c r="BK50" s="52">
        <v>10.14</v>
      </c>
      <c r="BL50" s="52">
        <v>9.8800000000000008</v>
      </c>
      <c r="BM50" s="52">
        <v>10.49</v>
      </c>
      <c r="BN50" s="52">
        <v>10.99</v>
      </c>
      <c r="BO50" s="52" cm="1">
        <f t="array" aca="1" ref="BO50" ca="1">_FV(EC50,"Preço")</f>
        <v>10.99</v>
      </c>
      <c r="BP50" s="69" t="s">
        <v>47</v>
      </c>
      <c r="BQ50" s="36" cm="1">
        <f t="array" aca="1" ref="BQ50" ca="1">_FV(EC50,"Média de volume",TRUE)</f>
        <v>16580</v>
      </c>
      <c r="BR50" s="36">
        <v>15700</v>
      </c>
      <c r="BS50" s="36" cm="1">
        <f t="array" aca="1" ref="BS50" ca="1">_FV(EC50,"Volume")</f>
        <v>15700</v>
      </c>
      <c r="BT50" s="24" cm="1">
        <f t="array" aca="1" ref="BT50" ca="1">_FV(EC50,"Beta")</f>
        <v>-0.40050000000000002</v>
      </c>
      <c r="BU50" s="71" cm="1">
        <f t="array" aca="1" ref="BU50" ca="1">_FV(EC50,"Variação (%)",TRUE)</f>
        <v>2.3277000000000003E-2</v>
      </c>
      <c r="BW50" s="17" cm="1">
        <f t="array" aca="1" ref="BW50" ca="1">_FV(EC50,"Baixo")</f>
        <v>10.81</v>
      </c>
      <c r="BX50" s="17" cm="1">
        <f t="array" aca="1" ref="BX50" ca="1">_FV(EC50,"Alto")</f>
        <v>11</v>
      </c>
      <c r="BY50" s="24"/>
      <c r="BZ50" s="63">
        <f ca="1">SQRT(22.5*(BO50/VLOOKUP(BP50,Fundamentus!A:U,3,FALSE))*(BO50/VLOOKUP(BP50,Fundamentus!A:U,4,FALSE)))</f>
        <v>4.5915247919626605</v>
      </c>
      <c r="CB50" s="62">
        <f t="shared" ca="1" si="24"/>
        <v>0</v>
      </c>
      <c r="CC50" s="8"/>
      <c r="CD50" s="61">
        <f t="shared" si="25"/>
        <v>9.8800000000000008</v>
      </c>
      <c r="CE50" s="61">
        <f t="shared" si="26"/>
        <v>16</v>
      </c>
      <c r="CF50" s="61">
        <f t="shared" si="27"/>
        <v>13.322803030303037</v>
      </c>
      <c r="CG50" s="14"/>
      <c r="CH50" s="35">
        <f t="shared" si="1"/>
        <v>10.419303010600114</v>
      </c>
      <c r="CI50" s="15">
        <f t="shared" si="28"/>
        <v>11.164999999999964</v>
      </c>
      <c r="CJ50" s="35">
        <f t="shared" si="2"/>
        <v>11.910696989399813</v>
      </c>
      <c r="CL50" s="14"/>
      <c r="CM50" s="17">
        <f t="shared" si="3"/>
        <v>2.4600000000000026</v>
      </c>
      <c r="CN50" s="17">
        <f t="shared" si="4"/>
        <v>6.1700000000000017</v>
      </c>
      <c r="CO50" s="17">
        <f t="shared" si="5"/>
        <v>8.5800000000000018</v>
      </c>
      <c r="CP50" s="38">
        <f t="shared" si="29"/>
        <v>12.290000000000001</v>
      </c>
      <c r="CQ50" s="17">
        <f t="shared" si="6"/>
        <v>14.700000000000001</v>
      </c>
      <c r="CR50" s="17">
        <f t="shared" si="7"/>
        <v>18.41</v>
      </c>
      <c r="CS50" s="17">
        <f t="shared" si="8"/>
        <v>20.82</v>
      </c>
      <c r="CT50" s="2" cm="1">
        <f t="array" aca="1" ref="CT50" ca="1">MAX(_xlfn._xlws.FILTER(CM50:CS50,CM50:CS50&lt;BO50))</f>
        <v>8.5800000000000018</v>
      </c>
      <c r="CU50" s="2" cm="1">
        <f t="array" aca="1" ref="CU50" ca="1">MIN(_xlfn._xlws.FILTER($CM50:$CS50,$CM50:$CS50&gt;BO50))</f>
        <v>12.290000000000001</v>
      </c>
      <c r="CV50" s="16">
        <f t="shared" ca="1" si="63"/>
        <v>0.43240093240093214</v>
      </c>
      <c r="CW50" s="20">
        <f t="shared" ca="1" si="64"/>
        <v>-0.21620046620046607</v>
      </c>
      <c r="CX50" s="20">
        <f t="shared" ca="1" si="65"/>
        <v>-0.14413364413364405</v>
      </c>
      <c r="CY50" s="20">
        <f t="shared" ca="1" si="66"/>
        <v>-8.6480186480186433E-2</v>
      </c>
      <c r="CZ50" s="20">
        <f t="shared" ca="1" si="67"/>
        <v>-4.8044548044548017E-2</v>
      </c>
      <c r="DA50" s="20">
        <f t="shared" ca="1" si="68"/>
        <v>-2.5435348964760712E-2</v>
      </c>
      <c r="DB50" s="20">
        <f t="shared" ca="1" si="69"/>
        <v>-1.3103058557604004E-2</v>
      </c>
      <c r="DC50" s="20">
        <f t="shared" ca="1" si="70"/>
        <v>-6.6523220369374171E-3</v>
      </c>
      <c r="DD50" s="21">
        <f t="shared" ca="1" si="71"/>
        <v>6.6523220369374171E-3</v>
      </c>
      <c r="DE50" s="21">
        <f t="shared" ca="1" si="72"/>
        <v>1.3103058557604004E-2</v>
      </c>
      <c r="DF50" s="21">
        <f t="shared" ca="1" si="73"/>
        <v>2.5435348964760712E-2</v>
      </c>
      <c r="DG50" s="21">
        <f t="shared" ca="1" si="74"/>
        <v>4.8044548044548017E-2</v>
      </c>
      <c r="DH50" s="21">
        <f t="shared" ca="1" si="75"/>
        <v>8.6480186480186433E-2</v>
      </c>
      <c r="DI50" s="21">
        <f t="shared" ca="1" si="76"/>
        <v>0.14413364413364405</v>
      </c>
      <c r="DJ50" s="21">
        <f t="shared" ca="1" si="77"/>
        <v>0.21620046620046607</v>
      </c>
      <c r="DL50" s="16" cm="1">
        <f t="array" aca="1" ref="DL50" ca="1">MAX(_xlfn._xlws.FILTER(CW50:DJ50,CW50:DJ50&lt;BU50))</f>
        <v>1.3103058557604004E-2</v>
      </c>
      <c r="DM50" s="16" cm="1">
        <f t="array" aca="1" ref="DM50" ca="1">MIN(_xlfn._xlws.FILTER(CW50:DJ50,CW50:DJ50&gt;BU50))</f>
        <v>2.5435348964760712E-2</v>
      </c>
      <c r="DN50" s="2" cm="1">
        <f t="array" aca="1" ref="DN50" ca="1">_FV(EC50,"Fechamento anterior",TRUE)</f>
        <v>10.74</v>
      </c>
      <c r="DO50" s="28">
        <f t="shared" ca="1" si="15"/>
        <v>0.82502183438991927</v>
      </c>
      <c r="DP50" s="15">
        <f t="shared" ca="1" si="78"/>
        <v>10.880726848908667</v>
      </c>
      <c r="DQ50" s="15">
        <f t="shared" ca="1" si="79"/>
        <v>11.01317564788153</v>
      </c>
      <c r="DR50" s="9"/>
      <c r="DS50" s="9"/>
      <c r="DT50" s="9"/>
      <c r="DU50" s="89">
        <v>1.6012558869701713E-2</v>
      </c>
      <c r="DV50" s="89">
        <f t="shared" ca="1" si="18"/>
        <v>1.2332290407156709E-2</v>
      </c>
      <c r="DW50" s="72">
        <f t="shared" ca="1" si="19"/>
        <v>-0.23467977273289856</v>
      </c>
      <c r="DX50" s="37"/>
      <c r="DY50" s="35">
        <f t="shared" si="39"/>
        <v>0.37284849469992476</v>
      </c>
      <c r="DZ50" s="56"/>
      <c r="EA50" s="56"/>
      <c r="EC50" s="2" t="e" vm="50">
        <v>#VALUE!</v>
      </c>
      <c r="EE50" s="10" cm="1">
        <f t="array" aca="1" ref="EE50" ca="1">_FV(EC50,"Ações em circulação",TRUE)</f>
        <v>96226960</v>
      </c>
      <c r="EF50" s="18">
        <f>VLOOKUP(BP50,Fundamentus!A:U,5,FALSE)</f>
        <v>13.502000000000001</v>
      </c>
      <c r="EG50" s="2">
        <f t="shared" ca="1" si="20"/>
        <v>78324269.767441854</v>
      </c>
      <c r="EH50" s="17">
        <v>11239532.711627904</v>
      </c>
      <c r="EI50" s="17">
        <f t="shared" ca="1" si="21"/>
        <v>11239532.711627904</v>
      </c>
      <c r="EK50" s="16">
        <f t="shared" ca="1" si="22"/>
        <v>0</v>
      </c>
      <c r="EL50" s="32" t="str">
        <f>IF(VLOOKUP(BP50,Fundamentus!A:U,3,FALSE)&lt;15,"Bom",IF(VLOOKUP(BP50,Fundamentus!A:U,3,FALSE)&gt;15,"Ruim","n/a"))</f>
        <v>Ruim</v>
      </c>
      <c r="EM50" s="28" t="str">
        <f>IF(VLOOKUP(BP50,Fundamentus!A:U,4,FALSE)&lt;1,"Baixo",IF(VLOOKUP(BP50,Fundamentus!A:U,4,FALSE)&lt;1.5,"Moderado",IF(VLOOKUP(BP50,Fundamentus!A:U,4,FALSE)&gt;1.5,"Alto","n/a")))</f>
        <v>Moderado</v>
      </c>
      <c r="EN50" s="17" t="str">
        <f>IF(VLOOKUP(BP50,Fundamentus!A:U,8,FALSE)&lt;0,"Risco elevado",IF(VLOOKUP(BP50,Fundamentus!A:U,8,FALSE)&lt;1,"Saudável",IF(VLOOKUP(BP50,Fundamentus!A:U,8,FALSE)&lt;3,"Estável",IF(VLOOKUP(BP50,Fundamentus!A:U,8,FALSE)&gt;3,"Alerta","n/a"))))</f>
        <v>Risco elevado</v>
      </c>
      <c r="EO50" s="28" t="str">
        <f t="shared" si="23"/>
        <v>Bom</v>
      </c>
      <c r="EP50" s="17" t="str">
        <f>IF(VLOOKUP(BP50,Fundamentus!A:U,12,FALSE)&lt;2,"Subvalorizada",IF(VLOOKUP(BP50,Fundamentus!A:U,12,FALSE)&lt;6,"Muita barata",IF(VLOOKUP(BP50,Fundamentus!A:U,12,FALSE)&lt;6,"Barata",IF(VLOOKUP(BP50,Fundamentus!A:U,12,FALSE)&lt;8,"Atrativa",IF(VLOOKUP(BP50,Fundamentus!A:U,12,FALSE)&gt;8,"Supervalorizada","n/a")))))</f>
        <v>Supervalorizada</v>
      </c>
      <c r="ER50" s="17" t="str">
        <f>IF(VLOOKUP(BP50,Fundamentus!A:U,17,FALSE)&lt;0.1,"Fraco retorno",IF(VLOOKUP(BP50,Fundamentus!A:U,17,FALSE)&gt;0.1,"Bom retorno","n/a"))</f>
        <v>Fraco retorno</v>
      </c>
      <c r="ES50" s="17" t="str">
        <f>IF(VLOOKUP(BP50,Fundamentus!A:U,16,FALSE)&lt;0.1,"Ineficiente",IF(VLOOKUP(BP50,Fundamentus!A:U,16,FALSE)&gt;0.1,"Eficiente","n/a"))</f>
        <v>Ineficiente</v>
      </c>
      <c r="ET50" s="33" t="str">
        <f>IF(VLOOKUP(BP50,Fundamentus!A:U,16,FALSE)&lt;0.1,"Oper. Ineficiente",IF(VLOOKUP(BP50,Fundamentus!A:U,16,FALSE)&gt;0.1,"Oper.Eficiente","n/a"))</f>
        <v>Oper. Ineficiente</v>
      </c>
      <c r="EU50" s="34">
        <f>VLOOKUP(BP50,Fundamentus!A:U,14,FALSE)</f>
        <v>0.14349999999999999</v>
      </c>
      <c r="EV50" s="17" t="str">
        <f>IF(VLOOKUP(BP50,Fundamentus!A:U,21,FALSE)&lt;0,"Negativo",IF(VLOOKUP(BP50,Fundamentus!A:U,21,FALSE)&lt;0.05,"Fraco",IF(VLOOKUP(BP50,Fundamentus!A:U,21,FALSE)&lt;0.1,"Bom",IF(VLOOKUP(BP50,Fundamentus!A:U,21,FALSE)&gt;0.1,"Muito bom","n/a"))))</f>
        <v>Negativo</v>
      </c>
      <c r="EX50" s="29" t="str">
        <f>IF(VLOOKUP(BP50,Fundamentus!A:U,15,FALSE)&gt;1,"Bom",IF(VLOOKUP(BP50,Fundamentus!A:U,15,FALSE)&lt;1,"Ruim","n/a"))</f>
        <v>Ruim</v>
      </c>
      <c r="EY50" s="17" t="str">
        <f>IF(VLOOKUP(BP50,Fundamentus!A:U,20,FALSE)&lt;0.5,"Baixa",IF(VLOOKUP(BP50,Fundamentus!A:U,20,FALSE)&lt;1,"Moderada",IF(VLOOKUP(BP50,Fundamentus!A:U,20,FALSE)&lt;2,"Alerta",IF(VLOOKUP(BP50,Fundamentus!A:U,20,FALSE)&gt;2,"Alta","n/a"))))</f>
        <v>Baixa</v>
      </c>
    </row>
    <row r="51" spans="1:155" s="2" customFormat="1" ht="11.25" x14ac:dyDescent="0.2">
      <c r="A51" s="4">
        <v>19.66</v>
      </c>
      <c r="B51" s="4">
        <v>19.350000000000001</v>
      </c>
      <c r="C51" s="4">
        <v>19.55</v>
      </c>
      <c r="D51" s="4">
        <v>18.690000000000001</v>
      </c>
      <c r="E51" s="4">
        <v>18.04</v>
      </c>
      <c r="F51" s="4">
        <v>16.97</v>
      </c>
      <c r="G51" s="4">
        <v>17</v>
      </c>
      <c r="H51" s="4">
        <v>17.739999999999998</v>
      </c>
      <c r="I51" s="4">
        <v>18.399999999999999</v>
      </c>
      <c r="J51" s="4">
        <v>18</v>
      </c>
      <c r="K51" s="4">
        <v>18.27</v>
      </c>
      <c r="L51" s="4">
        <v>18.79</v>
      </c>
      <c r="M51" s="4">
        <v>18.32</v>
      </c>
      <c r="N51" s="4">
        <v>17.329999999999998</v>
      </c>
      <c r="O51" s="4">
        <v>17.510000000000002</v>
      </c>
      <c r="P51" s="4">
        <v>17.21</v>
      </c>
      <c r="Q51" s="4">
        <v>18.28</v>
      </c>
      <c r="R51" s="4">
        <v>18.3</v>
      </c>
      <c r="S51" s="4">
        <v>18.170000000000002</v>
      </c>
      <c r="T51" s="4">
        <v>18.8</v>
      </c>
      <c r="U51" s="4">
        <v>18.05</v>
      </c>
      <c r="V51" s="4">
        <v>19</v>
      </c>
      <c r="W51" s="4">
        <v>19.18</v>
      </c>
      <c r="X51" s="4">
        <v>18.43</v>
      </c>
      <c r="Y51" s="4">
        <v>18.09</v>
      </c>
      <c r="Z51" s="4">
        <v>17.989999999999998</v>
      </c>
      <c r="AA51" s="4">
        <v>18.2</v>
      </c>
      <c r="AB51" s="4">
        <v>20.41</v>
      </c>
      <c r="AC51" s="4">
        <v>20.03</v>
      </c>
      <c r="AD51" s="4">
        <v>19.79</v>
      </c>
      <c r="AE51" s="4">
        <v>20.3</v>
      </c>
      <c r="AF51" s="4">
        <v>20.47</v>
      </c>
      <c r="AG51" s="4">
        <v>20</v>
      </c>
      <c r="AH51" s="4">
        <v>18.760000000000002</v>
      </c>
      <c r="AI51" s="4">
        <v>18.34</v>
      </c>
      <c r="AJ51" s="4">
        <v>17.32</v>
      </c>
      <c r="AK51" s="4">
        <v>16.8</v>
      </c>
      <c r="AL51" s="4">
        <v>17.37</v>
      </c>
      <c r="AM51" s="4">
        <v>17.559999999999999</v>
      </c>
      <c r="AN51" s="4">
        <v>17.22</v>
      </c>
      <c r="AO51" s="4">
        <v>16.7</v>
      </c>
      <c r="AP51" s="4">
        <v>17.579999999999998</v>
      </c>
      <c r="AQ51" s="4">
        <v>16.22</v>
      </c>
      <c r="AR51" s="4">
        <v>16.66</v>
      </c>
      <c r="AS51" s="4">
        <v>16.96</v>
      </c>
      <c r="AT51" s="4">
        <v>16.91</v>
      </c>
      <c r="AU51" s="4">
        <v>17.135000000000002</v>
      </c>
      <c r="AV51" s="4">
        <v>16.899999999999999</v>
      </c>
      <c r="AW51" s="4">
        <v>15.15</v>
      </c>
      <c r="AX51" s="4">
        <v>14.68</v>
      </c>
      <c r="AY51" s="12">
        <v>14.95</v>
      </c>
      <c r="AZ51" s="12">
        <v>15.33</v>
      </c>
      <c r="BA51" s="12">
        <v>14.99</v>
      </c>
      <c r="BB51" s="15">
        <v>14.9</v>
      </c>
      <c r="BC51" s="52">
        <v>15.71</v>
      </c>
      <c r="BD51" s="52">
        <v>15.45</v>
      </c>
      <c r="BE51" s="52">
        <v>15.25</v>
      </c>
      <c r="BF51" s="52">
        <v>16.690000000000001</v>
      </c>
      <c r="BG51" s="67">
        <v>16.760000000000002</v>
      </c>
      <c r="BH51" s="52">
        <v>16.010000000000002</v>
      </c>
      <c r="BI51" s="52">
        <v>15.9</v>
      </c>
      <c r="BJ51" s="52">
        <v>16.78</v>
      </c>
      <c r="BK51" s="52">
        <v>16.690000000000001</v>
      </c>
      <c r="BL51" s="52">
        <v>16.11</v>
      </c>
      <c r="BM51" s="52">
        <v>17.18</v>
      </c>
      <c r="BN51" s="52">
        <v>16.05</v>
      </c>
      <c r="BO51" s="52" cm="1">
        <f t="array" aca="1" ref="BO51" ca="1">_FV(EC51,"Preço")</f>
        <v>16.05</v>
      </c>
      <c r="BP51" s="69" t="s">
        <v>48</v>
      </c>
      <c r="BQ51" s="36" cm="1">
        <f t="array" aca="1" ref="BQ51" ca="1">_FV(EC51,"Média de volume",TRUE)</f>
        <v>10720030</v>
      </c>
      <c r="BR51" s="36">
        <v>19620300</v>
      </c>
      <c r="BS51" s="36" cm="1">
        <f t="array" aca="1" ref="BS51" ca="1">_FV(EC51,"Volume")</f>
        <v>19620300</v>
      </c>
      <c r="BT51" s="24" cm="1">
        <f t="array" aca="1" ref="BT51" ca="1">_FV(EC51,"Beta")</f>
        <v>0.65059999999999996</v>
      </c>
      <c r="BU51" s="71" cm="1">
        <f t="array" aca="1" ref="BU51" ca="1">_FV(EC51,"Variação (%)",TRUE)</f>
        <v>-4.6912000000000002E-2</v>
      </c>
      <c r="BW51" s="17" cm="1">
        <f t="array" aca="1" ref="BW51" ca="1">_FV(EC51,"Baixo")</f>
        <v>16.02</v>
      </c>
      <c r="BX51" s="17" cm="1">
        <f t="array" aca="1" ref="BX51" ca="1">_FV(EC51,"Alto")</f>
        <v>16.989999999999998</v>
      </c>
      <c r="BY51" s="24"/>
      <c r="BZ51" s="63">
        <f ca="1">SQRT(22.5*(BO51/VLOOKUP(BP51,Fundamentus!A:U,3,FALSE))*(BO51/VLOOKUP(BP51,Fundamentus!A:U,4,FALSE)))</f>
        <v>29.599763516654317</v>
      </c>
      <c r="CB51" s="62">
        <f t="shared" ca="1" si="24"/>
        <v>0</v>
      </c>
      <c r="CC51" s="8"/>
      <c r="CD51" s="61">
        <f t="shared" si="25"/>
        <v>14.68</v>
      </c>
      <c r="CE51" s="61">
        <f t="shared" si="26"/>
        <v>20.47</v>
      </c>
      <c r="CF51" s="61">
        <f t="shared" si="27"/>
        <v>17.535378787878788</v>
      </c>
      <c r="CG51" s="14"/>
      <c r="CH51" s="35">
        <f t="shared" si="1"/>
        <v>15.440702627886591</v>
      </c>
      <c r="CI51" s="15">
        <f t="shared" si="28"/>
        <v>16.295000000000073</v>
      </c>
      <c r="CJ51" s="35">
        <f t="shared" si="2"/>
        <v>17.149297372113555</v>
      </c>
      <c r="CL51" s="14"/>
      <c r="CM51" s="17">
        <f t="shared" si="3"/>
        <v>7.8733333333333348</v>
      </c>
      <c r="CN51" s="17">
        <f t="shared" si="4"/>
        <v>11.276666666666667</v>
      </c>
      <c r="CO51" s="17">
        <f t="shared" si="5"/>
        <v>13.663333333333334</v>
      </c>
      <c r="CP51" s="38">
        <f t="shared" si="29"/>
        <v>17.066666666666666</v>
      </c>
      <c r="CQ51" s="17">
        <f t="shared" si="6"/>
        <v>19.453333333333333</v>
      </c>
      <c r="CR51" s="17">
        <f t="shared" si="7"/>
        <v>22.856666666666666</v>
      </c>
      <c r="CS51" s="17">
        <f t="shared" si="8"/>
        <v>25.243333333333332</v>
      </c>
      <c r="CT51" s="2" cm="1">
        <f t="array" aca="1" ref="CT51" ca="1">MAX(_xlfn._xlws.FILTER(CM51:CS51,CM51:CS51&lt;BO51))</f>
        <v>13.663333333333334</v>
      </c>
      <c r="CU51" s="2" cm="1">
        <f t="array" aca="1" ref="CU51" ca="1">MIN(_xlfn._xlws.FILTER($CM51:$CS51,$CM51:$CS51&gt;BO51))</f>
        <v>17.066666666666666</v>
      </c>
      <c r="CV51" s="16">
        <f t="shared" ref="CV51:CV82" ca="1" si="80">(CU51/CT51)-1</f>
        <v>0.24908514271773585</v>
      </c>
      <c r="CW51" s="20">
        <f t="shared" ref="CW51:CW82" ca="1" si="81">-$CV51/2</f>
        <v>-0.12454257135886793</v>
      </c>
      <c r="CX51" s="20">
        <f t="shared" ref="CX51:CX82" ca="1" si="82">-$CV51/3</f>
        <v>-8.3028380905911955E-2</v>
      </c>
      <c r="CY51" s="20">
        <f t="shared" ref="CY51:CY82" ca="1" si="83">-$CV51/5</f>
        <v>-4.9817028543547172E-2</v>
      </c>
      <c r="CZ51" s="20">
        <f t="shared" ref="CZ51:CZ82" ca="1" si="84">-$CV51/9</f>
        <v>-2.7676126968637318E-2</v>
      </c>
      <c r="DA51" s="20">
        <f t="shared" ref="DA51:DA82" ca="1" si="85">-$CV51/17</f>
        <v>-1.4652067218690345E-2</v>
      </c>
      <c r="DB51" s="20">
        <f t="shared" ref="DB51:DB82" ca="1" si="86">-$CV51/33</f>
        <v>-7.5480346278101774E-3</v>
      </c>
      <c r="DC51" s="20">
        <f t="shared" ref="DC51:DC82" ca="1" si="87">-$CV51/65</f>
        <v>-3.8320791187343977E-3</v>
      </c>
      <c r="DD51" s="21">
        <f t="shared" ref="DD51:DD82" ca="1" si="88">-$CV51/65*-1</f>
        <v>3.8320791187343977E-3</v>
      </c>
      <c r="DE51" s="21">
        <f t="shared" ref="DE51:DE82" ca="1" si="89">-$CV51/33*-1</f>
        <v>7.5480346278101774E-3</v>
      </c>
      <c r="DF51" s="21">
        <f t="shared" ref="DF51:DF82" ca="1" si="90">-$CV51/17*-1</f>
        <v>1.4652067218690345E-2</v>
      </c>
      <c r="DG51" s="21">
        <f t="shared" ref="DG51:DG82" ca="1" si="91">-$CV51/9*-1</f>
        <v>2.7676126968637318E-2</v>
      </c>
      <c r="DH51" s="21">
        <f t="shared" ref="DH51:DH82" ca="1" si="92">-$CV51/5*-1</f>
        <v>4.9817028543547172E-2</v>
      </c>
      <c r="DI51" s="21">
        <f t="shared" ref="DI51:DI82" ca="1" si="93">-$CV51/3*-1</f>
        <v>8.3028380905911955E-2</v>
      </c>
      <c r="DJ51" s="21">
        <f t="shared" ref="DJ51:DJ82" ca="1" si="94">-$CV51/2*-1</f>
        <v>0.12454257135886793</v>
      </c>
      <c r="DL51" s="16" cm="1">
        <f t="array" aca="1" ref="DL51" ca="1">MAX(_xlfn._xlws.FILTER(CW51:DJ51,CW51:DJ51&lt;BU51))</f>
        <v>-4.9817028543547172E-2</v>
      </c>
      <c r="DM51" s="16" cm="1">
        <f t="array" aca="1" ref="DM51" ca="1">MIN(_xlfn._xlws.FILTER(CW51:DJ51,CW51:DJ51&gt;BU51))</f>
        <v>-2.7676126968637318E-2</v>
      </c>
      <c r="DN51" s="2" cm="1">
        <f t="array" aca="1" ref="DN51" ca="1">_FV(EC51,"Fechamento anterior",TRUE)</f>
        <v>16.84</v>
      </c>
      <c r="DO51" s="28">
        <f t="shared" ca="1" si="15"/>
        <v>0.1312012755879495</v>
      </c>
      <c r="DP51" s="15">
        <f t="shared" ref="DP51:DP82" ca="1" si="95">DN51+(DN51*DL51)</f>
        <v>16.001081239326666</v>
      </c>
      <c r="DQ51" s="15">
        <f t="shared" ref="DQ51:DQ82" ca="1" si="96">DN51+(DN51*DM51)</f>
        <v>16.373934021848147</v>
      </c>
      <c r="DR51" s="9"/>
      <c r="DS51" s="9"/>
      <c r="DT51" s="9"/>
      <c r="DU51" s="89">
        <v>4.0171284347456544E-3</v>
      </c>
      <c r="DV51" s="89">
        <f t="shared" ca="1" si="18"/>
        <v>2.2140901574909853E-2</v>
      </c>
      <c r="DW51" s="72">
        <f t="shared" ca="1" si="19"/>
        <v>-0.28678538410337873</v>
      </c>
      <c r="DX51" s="37"/>
      <c r="DY51" s="35">
        <f t="shared" si="39"/>
        <v>0.42714868605674072</v>
      </c>
      <c r="DZ51" s="56"/>
      <c r="EA51" s="56"/>
      <c r="EC51" s="2" t="e" vm="51">
        <v>#VALUE!</v>
      </c>
      <c r="EE51" s="10" cm="1">
        <f t="array" aca="1" ref="EE51" ca="1">_FV(EC51,"Ações em circulação",TRUE)</f>
        <v>2013814000</v>
      </c>
      <c r="EF51" s="18">
        <f>VLOOKUP(BP51,Fundamentus!A:U,5,FALSE)</f>
        <v>0.51200000000000001</v>
      </c>
      <c r="EG51" s="2">
        <f t="shared" ca="1" si="20"/>
        <v>63128349023.4375</v>
      </c>
      <c r="EH51" s="17">
        <v>3061724927.6367188</v>
      </c>
      <c r="EI51" s="17">
        <f t="shared" ca="1" si="21"/>
        <v>3061724927.6367188</v>
      </c>
      <c r="EK51" s="16">
        <f t="shared" ca="1" si="22"/>
        <v>0</v>
      </c>
      <c r="EL51" s="32" t="str">
        <f>IF(VLOOKUP(BP51,Fundamentus!A:U,3,FALSE)&lt;15,"Bom",IF(VLOOKUP(BP51,Fundamentus!A:U,3,FALSE)&gt;15,"Ruim","n/a"))</f>
        <v>Bom</v>
      </c>
      <c r="EM51" s="28" t="str">
        <f>IF(VLOOKUP(BP51,Fundamentus!A:U,4,FALSE)&lt;1,"Baixo",IF(VLOOKUP(BP51,Fundamentus!A:U,4,FALSE)&lt;1.5,"Moderado",IF(VLOOKUP(BP51,Fundamentus!A:U,4,FALSE)&gt;1.5,"Alto","n/a")))</f>
        <v>Baixo</v>
      </c>
      <c r="EN51" s="17" t="str">
        <f>IF(VLOOKUP(BP51,Fundamentus!A:U,8,FALSE)&lt;0,"Risco elevado",IF(VLOOKUP(BP51,Fundamentus!A:U,8,FALSE)&lt;1,"Saudável",IF(VLOOKUP(BP51,Fundamentus!A:U,8,FALSE)&lt;3,"Estável",IF(VLOOKUP(BP51,Fundamentus!A:U,8,FALSE)&gt;3,"Alerta","n/a"))))</f>
        <v>Estável</v>
      </c>
      <c r="EO51" s="28" t="str">
        <f t="shared" si="23"/>
        <v>Ruim</v>
      </c>
      <c r="EP51" s="17" t="str">
        <f>IF(VLOOKUP(BP51,Fundamentus!A:U,12,FALSE)&lt;2,"Subvalorizada",IF(VLOOKUP(BP51,Fundamentus!A:U,12,FALSE)&lt;6,"Muita barata",IF(VLOOKUP(BP51,Fundamentus!A:U,12,FALSE)&lt;6,"Barata",IF(VLOOKUP(BP51,Fundamentus!A:U,12,FALSE)&lt;8,"Atrativa",IF(VLOOKUP(BP51,Fundamentus!A:U,12,FALSE)&gt;8,"Supervalorizada","n/a")))))</f>
        <v>Muita barata</v>
      </c>
      <c r="ER51" s="17" t="str">
        <f>IF(VLOOKUP(BP51,Fundamentus!A:U,17,FALSE)&lt;0.1,"Fraco retorno",IF(VLOOKUP(BP51,Fundamentus!A:U,17,FALSE)&gt;0.1,"Bom retorno","n/a"))</f>
        <v>Fraco retorno</v>
      </c>
      <c r="ES51" s="17" t="str">
        <f>IF(VLOOKUP(BP51,Fundamentus!A:U,16,FALSE)&lt;0.1,"Ineficiente",IF(VLOOKUP(BP51,Fundamentus!A:U,16,FALSE)&gt;0.1,"Eficiente","n/a"))</f>
        <v>Ineficiente</v>
      </c>
      <c r="ET51" s="33" t="str">
        <f>IF(VLOOKUP(BP51,Fundamentus!A:U,16,FALSE)&lt;0.1,"Oper. Ineficiente",IF(VLOOKUP(BP51,Fundamentus!A:U,16,FALSE)&gt;0.1,"Oper.Eficiente","n/a"))</f>
        <v>Oper. Ineficiente</v>
      </c>
      <c r="EU51" s="34">
        <f>VLOOKUP(BP51,Fundamentus!A:U,14,FALSE)</f>
        <v>4.8500000000000001E-2</v>
      </c>
      <c r="EV51" s="17" t="str">
        <f>IF(VLOOKUP(BP51,Fundamentus!A:U,21,FALSE)&lt;0,"Negativo",IF(VLOOKUP(BP51,Fundamentus!A:U,21,FALSE)&lt;0.05,"Fraco",IF(VLOOKUP(BP51,Fundamentus!A:U,21,FALSE)&lt;0.1,"Bom",IF(VLOOKUP(BP51,Fundamentus!A:U,21,FALSE)&gt;0.1,"Muito bom","n/a"))))</f>
        <v>Fraco</v>
      </c>
      <c r="EX51" s="29" t="str">
        <f>IF(VLOOKUP(BP51,Fundamentus!A:U,15,FALSE)&gt;1,"Bom",IF(VLOOKUP(BP51,Fundamentus!A:U,15,FALSE)&lt;1,"Ruim","n/a"))</f>
        <v>Bom</v>
      </c>
      <c r="EY51" s="17" t="str">
        <f>IF(VLOOKUP(BP51,Fundamentus!A:U,20,FALSE)&lt;0.5,"Baixa",IF(VLOOKUP(BP51,Fundamentus!A:U,20,FALSE)&lt;1,"Moderada",IF(VLOOKUP(BP51,Fundamentus!A:U,20,FALSE)&lt;2,"Alerta",IF(VLOOKUP(BP51,Fundamentus!A:U,20,FALSE)&gt;2,"Alta","n/a"))))</f>
        <v>Baixa</v>
      </c>
    </row>
    <row r="52" spans="1:155" s="5" customFormat="1" ht="11.25" x14ac:dyDescent="0.2">
      <c r="A52" s="4">
        <v>9.82</v>
      </c>
      <c r="B52" s="4">
        <v>9.93</v>
      </c>
      <c r="C52" s="4">
        <v>10.26</v>
      </c>
      <c r="D52" s="4">
        <v>9.9700000000000006</v>
      </c>
      <c r="E52" s="4">
        <v>9.7100000000000009</v>
      </c>
      <c r="F52" s="4">
        <v>9.6999999999999993</v>
      </c>
      <c r="G52" s="4">
        <v>9.57</v>
      </c>
      <c r="H52" s="4">
        <v>9.68</v>
      </c>
      <c r="I52" s="4">
        <v>9.7799999999999994</v>
      </c>
      <c r="J52" s="4">
        <v>9.9499999999999993</v>
      </c>
      <c r="K52" s="4">
        <v>10.210000000000001</v>
      </c>
      <c r="L52" s="4">
        <v>10.36</v>
      </c>
      <c r="M52" s="4">
        <v>10.29</v>
      </c>
      <c r="N52" s="4">
        <v>9.84</v>
      </c>
      <c r="O52" s="4">
        <v>10.35</v>
      </c>
      <c r="P52" s="4">
        <v>10.91</v>
      </c>
      <c r="Q52" s="4">
        <v>10.96</v>
      </c>
      <c r="R52" s="4">
        <v>10.96</v>
      </c>
      <c r="S52" s="4">
        <v>11.12</v>
      </c>
      <c r="T52" s="4">
        <v>11.2</v>
      </c>
      <c r="U52" s="4">
        <v>10.97</v>
      </c>
      <c r="V52" s="4">
        <v>11.15</v>
      </c>
      <c r="W52" s="4">
        <v>10.62</v>
      </c>
      <c r="X52" s="4">
        <v>10.47</v>
      </c>
      <c r="Y52" s="4">
        <v>10.54</v>
      </c>
      <c r="Z52" s="4">
        <v>10.65</v>
      </c>
      <c r="AA52" s="4">
        <v>10.51</v>
      </c>
      <c r="AB52" s="4">
        <v>10.69</v>
      </c>
      <c r="AC52" s="4">
        <v>10.42</v>
      </c>
      <c r="AD52" s="4">
        <v>10.27</v>
      </c>
      <c r="AE52" s="4">
        <v>9.75</v>
      </c>
      <c r="AF52" s="4">
        <v>9.27</v>
      </c>
      <c r="AG52" s="4">
        <v>9.17</v>
      </c>
      <c r="AH52" s="4">
        <v>8.8000000000000007</v>
      </c>
      <c r="AI52" s="4">
        <v>8.83</v>
      </c>
      <c r="AJ52" s="4">
        <v>8.5299999999999994</v>
      </c>
      <c r="AK52" s="4">
        <v>8.66</v>
      </c>
      <c r="AL52" s="4">
        <v>9.0500000000000007</v>
      </c>
      <c r="AM52" s="4">
        <v>9.15</v>
      </c>
      <c r="AN52" s="4">
        <v>9.5299999999999994</v>
      </c>
      <c r="AO52" s="4">
        <v>9.52</v>
      </c>
      <c r="AP52" s="4">
        <v>9.81</v>
      </c>
      <c r="AQ52" s="4">
        <v>9.08</v>
      </c>
      <c r="AR52" s="4">
        <v>8.7899999999999991</v>
      </c>
      <c r="AS52" s="4">
        <v>8.9600000000000009</v>
      </c>
      <c r="AT52" s="4">
        <v>9.26</v>
      </c>
      <c r="AU52" s="4">
        <v>9.5799999999999983</v>
      </c>
      <c r="AV52" s="4">
        <v>9.6199999999999992</v>
      </c>
      <c r="AW52" s="4">
        <v>9.34</v>
      </c>
      <c r="AX52" s="4">
        <v>9.65</v>
      </c>
      <c r="AY52" s="12">
        <v>9.9499999999999993</v>
      </c>
      <c r="AZ52" s="12">
        <v>10.57</v>
      </c>
      <c r="BA52" s="12">
        <v>10.7</v>
      </c>
      <c r="BB52" s="15">
        <v>10.6</v>
      </c>
      <c r="BC52" s="52">
        <v>11.14</v>
      </c>
      <c r="BD52" s="52">
        <v>11.14</v>
      </c>
      <c r="BE52" s="52">
        <v>11.07</v>
      </c>
      <c r="BF52" s="52">
        <v>10.81</v>
      </c>
      <c r="BG52" s="67">
        <v>10.71</v>
      </c>
      <c r="BH52" s="52">
        <v>10.81</v>
      </c>
      <c r="BI52" s="52">
        <v>10.71</v>
      </c>
      <c r="BJ52" s="52">
        <v>11.12</v>
      </c>
      <c r="BK52" s="52">
        <v>10.48</v>
      </c>
      <c r="BL52" s="52">
        <v>10.45</v>
      </c>
      <c r="BM52" s="52">
        <v>10.44</v>
      </c>
      <c r="BN52" s="52">
        <v>10.34</v>
      </c>
      <c r="BO52" s="52" cm="1">
        <f t="array" aca="1" ref="BO52" ca="1">_FV(EC52,"Preço")</f>
        <v>10.34</v>
      </c>
      <c r="BP52" s="69" t="s">
        <v>49</v>
      </c>
      <c r="BQ52" s="36" cm="1">
        <f t="array" aca="1" ref="BQ52" ca="1">_FV(EC52,"Média de volume",TRUE)</f>
        <v>15402440</v>
      </c>
      <c r="BR52" s="36">
        <v>16515300</v>
      </c>
      <c r="BS52" s="36" cm="1">
        <f t="array" aca="1" ref="BS52" ca="1">_FV(EC52,"Volume")</f>
        <v>16515300</v>
      </c>
      <c r="BT52" s="24" cm="1">
        <f t="array" aca="1" ref="BT52" ca="1">_FV(EC52,"Beta")</f>
        <v>1.1713</v>
      </c>
      <c r="BU52" s="71" cm="1">
        <f t="array" aca="1" ref="BU52" ca="1">_FV(EC52,"Variação (%)",TRUE)</f>
        <v>-9.6619999999999996E-4</v>
      </c>
      <c r="BW52" s="17" cm="1">
        <f t="array" aca="1" ref="BW52" ca="1">_FV(EC52,"Baixo")</f>
        <v>10.24</v>
      </c>
      <c r="BX52" s="17" cm="1">
        <f t="array" aca="1" ref="BX52" ca="1">_FV(EC52,"Alto")</f>
        <v>10.5</v>
      </c>
      <c r="BY52" s="24"/>
      <c r="BZ52" s="63">
        <f ca="1">SQRT(22.5*(BO52/VLOOKUP(BP52,Fundamentus!A:U,3,FALSE))*(BO52/VLOOKUP(BP52,Fundamentus!A:U,4,FALSE)))</f>
        <v>15.30215459250814</v>
      </c>
      <c r="CB52" s="62">
        <f t="shared" ca="1" si="24"/>
        <v>0</v>
      </c>
      <c r="CC52" s="8"/>
      <c r="CD52" s="61">
        <f t="shared" si="25"/>
        <v>8.5299999999999994</v>
      </c>
      <c r="CE52" s="61">
        <f t="shared" si="26"/>
        <v>11.2</v>
      </c>
      <c r="CF52" s="61">
        <f t="shared" si="27"/>
        <v>10.094696969696971</v>
      </c>
      <c r="CG52" s="14"/>
      <c r="CH52" s="35">
        <f t="shared" si="1"/>
        <v>9.7580605014772441</v>
      </c>
      <c r="CI52" s="15">
        <f t="shared" si="28"/>
        <v>10.319999999999993</v>
      </c>
      <c r="CJ52" s="35">
        <f t="shared" si="2"/>
        <v>10.881939498522742</v>
      </c>
      <c r="CL52" s="14"/>
      <c r="CM52" s="17">
        <f t="shared" si="3"/>
        <v>6.1766666666666641</v>
      </c>
      <c r="CN52" s="17">
        <f t="shared" si="4"/>
        <v>7.3533333333333317</v>
      </c>
      <c r="CO52" s="17">
        <f t="shared" si="5"/>
        <v>8.846666666666664</v>
      </c>
      <c r="CP52" s="38">
        <f t="shared" si="29"/>
        <v>10.023333333333332</v>
      </c>
      <c r="CQ52" s="17">
        <f t="shared" si="6"/>
        <v>11.516666666666664</v>
      </c>
      <c r="CR52" s="17">
        <f t="shared" si="7"/>
        <v>12.693333333333332</v>
      </c>
      <c r="CS52" s="17">
        <f t="shared" si="8"/>
        <v>14.186666666666664</v>
      </c>
      <c r="CT52" s="2" cm="1">
        <f t="array" aca="1" ref="CT52" ca="1">MAX(_xlfn._xlws.FILTER(CM52:CS52,CM52:CS52&lt;BO52))</f>
        <v>10.023333333333332</v>
      </c>
      <c r="CU52" s="2" cm="1">
        <f t="array" aca="1" ref="CU52" ca="1">MIN(_xlfn._xlws.FILTER($CM52:$CS52,$CM52:$CS52&gt;BO52))</f>
        <v>11.516666666666664</v>
      </c>
      <c r="CV52" s="16">
        <f t="shared" ca="1" si="80"/>
        <v>0.14898570003325573</v>
      </c>
      <c r="CW52" s="20">
        <f t="shared" ca="1" si="81"/>
        <v>-7.4492850016627865E-2</v>
      </c>
      <c r="CX52" s="20">
        <f t="shared" ca="1" si="82"/>
        <v>-4.9661900011085246E-2</v>
      </c>
      <c r="CY52" s="20">
        <f t="shared" ca="1" si="83"/>
        <v>-2.9797140006651145E-2</v>
      </c>
      <c r="CZ52" s="20">
        <f t="shared" ca="1" si="84"/>
        <v>-1.6553966670361749E-2</v>
      </c>
      <c r="DA52" s="20">
        <f t="shared" ca="1" si="85"/>
        <v>-8.7638647078385722E-3</v>
      </c>
      <c r="DB52" s="20">
        <f t="shared" ca="1" si="86"/>
        <v>-4.5147181828259315E-3</v>
      </c>
      <c r="DC52" s="20">
        <f t="shared" ca="1" si="87"/>
        <v>-2.2920876928193188E-3</v>
      </c>
      <c r="DD52" s="21">
        <f t="shared" ca="1" si="88"/>
        <v>2.2920876928193188E-3</v>
      </c>
      <c r="DE52" s="21">
        <f t="shared" ca="1" si="89"/>
        <v>4.5147181828259315E-3</v>
      </c>
      <c r="DF52" s="21">
        <f t="shared" ca="1" si="90"/>
        <v>8.7638647078385722E-3</v>
      </c>
      <c r="DG52" s="21">
        <f t="shared" ca="1" si="91"/>
        <v>1.6553966670361749E-2</v>
      </c>
      <c r="DH52" s="21">
        <f t="shared" ca="1" si="92"/>
        <v>2.9797140006651145E-2</v>
      </c>
      <c r="DI52" s="21">
        <f t="shared" ca="1" si="93"/>
        <v>4.9661900011085246E-2</v>
      </c>
      <c r="DJ52" s="21">
        <f t="shared" ca="1" si="94"/>
        <v>7.4492850016627865E-2</v>
      </c>
      <c r="DL52" s="16" cm="1">
        <f t="array" aca="1" ref="DL52" ca="1">MAX(_xlfn._xlws.FILTER(CW52:DJ52,CW52:DJ52&lt;BU52))</f>
        <v>-2.2920876928193188E-3</v>
      </c>
      <c r="DM52" s="16" cm="1">
        <f t="array" aca="1" ref="DM52" ca="1">MIN(_xlfn._xlws.FILTER(CW52:DJ52,CW52:DJ52&gt;BU52))</f>
        <v>2.2920876928193188E-3</v>
      </c>
      <c r="DN52" s="2" cm="1">
        <f t="array" aca="1" ref="DN52" ca="1">_FV(EC52,"Fechamento anterior",TRUE)</f>
        <v>10.35</v>
      </c>
      <c r="DO52" s="28">
        <f t="shared" ca="1" si="15"/>
        <v>0.28923503278124002</v>
      </c>
      <c r="DP52" s="15">
        <f t="shared" ca="1" si="95"/>
        <v>10.326276892379319</v>
      </c>
      <c r="DQ52" s="15">
        <f t="shared" ca="1" si="96"/>
        <v>10.37372310762068</v>
      </c>
      <c r="DR52" s="9"/>
      <c r="DS52" s="9"/>
      <c r="DT52" s="9"/>
      <c r="DU52" s="89">
        <v>2.2689040581684696E-3</v>
      </c>
      <c r="DV52" s="89">
        <f t="shared" ca="1" si="18"/>
        <v>4.5841753856386376E-3</v>
      </c>
      <c r="DW52" s="72">
        <f t="shared" ca="1" si="19"/>
        <v>3.5591020123311404E-2</v>
      </c>
      <c r="DX52" s="37"/>
      <c r="DY52" s="35">
        <f t="shared" si="39"/>
        <v>0.28096974926137491</v>
      </c>
      <c r="DZ52" s="56"/>
      <c r="EA52" s="56"/>
      <c r="EC52" s="5" t="e" vm="52">
        <v>#VALUE!</v>
      </c>
      <c r="EE52" s="10" cm="1">
        <f t="array" aca="1" ref="EE52" ca="1">_FV(EC52,"Ações em circulação",TRUE)</f>
        <v>10993810000</v>
      </c>
      <c r="EF52" s="18">
        <f>VLOOKUP(BP52,Fundamentus!A:U,5,FALSE)</f>
        <v>14.128</v>
      </c>
      <c r="EG52" s="2">
        <f t="shared" ca="1" si="20"/>
        <v>8046149164.7791615</v>
      </c>
      <c r="EH52" s="17">
        <v>15094575833.125706</v>
      </c>
      <c r="EI52" s="17">
        <f t="shared" ca="1" si="21"/>
        <v>15094575833.125706</v>
      </c>
      <c r="EJ52" s="2"/>
      <c r="EK52" s="16">
        <f t="shared" ca="1" si="22"/>
        <v>0</v>
      </c>
      <c r="EL52" s="32" t="str">
        <f>IF(VLOOKUP(BP52,Fundamentus!A:U,3,FALSE)&lt;15,"Bom",IF(VLOOKUP(BP52,Fundamentus!A:U,3,FALSE)&gt;15,"Ruim","n/a"))</f>
        <v>Bom</v>
      </c>
      <c r="EM52" s="28" t="str">
        <f>IF(VLOOKUP(BP52,Fundamentus!A:U,4,FALSE)&lt;1,"Baixo",IF(VLOOKUP(BP52,Fundamentus!A:U,4,FALSE)&lt;1.5,"Moderado",IF(VLOOKUP(BP52,Fundamentus!A:U,4,FALSE)&gt;1.5,"Alto","n/a")))</f>
        <v>Moderado</v>
      </c>
      <c r="EN52" s="17" t="str">
        <f>IF(VLOOKUP(BP52,Fundamentus!A:U,8,FALSE)&lt;0,"Risco elevado",IF(VLOOKUP(BP52,Fundamentus!A:U,8,FALSE)&lt;1,"Saudável",IF(VLOOKUP(BP52,Fundamentus!A:U,8,FALSE)&lt;3,"Estável",IF(VLOOKUP(BP52,Fundamentus!A:U,8,FALSE)&gt;3,"Alerta","n/a"))))</f>
        <v>Alerta</v>
      </c>
      <c r="EO52" s="28" t="str">
        <f t="shared" si="23"/>
        <v>Bom</v>
      </c>
      <c r="EP52" s="17" t="str">
        <f>IF(VLOOKUP(BP52,Fundamentus!A:U,12,FALSE)&lt;2,"Subvalorizada",IF(VLOOKUP(BP52,Fundamentus!A:U,12,FALSE)&lt;6,"Muita barata",IF(VLOOKUP(BP52,Fundamentus!A:U,12,FALSE)&lt;6,"Barata",IF(VLOOKUP(BP52,Fundamentus!A:U,12,FALSE)&lt;8,"Atrativa",IF(VLOOKUP(BP52,Fundamentus!A:U,12,FALSE)&gt;8,"Supervalorizada","n/a")))))</f>
        <v>Supervalorizada</v>
      </c>
      <c r="EQ52" s="2"/>
      <c r="ER52" s="17" t="str">
        <f>IF(VLOOKUP(BP52,Fundamentus!A:U,17,FALSE)&lt;0.1,"Fraco retorno",IF(VLOOKUP(BP52,Fundamentus!A:U,17,FALSE)&gt;0.1,"Bom retorno","n/a"))</f>
        <v>Bom retorno</v>
      </c>
      <c r="ES52" s="17" t="str">
        <f>IF(VLOOKUP(BP52,Fundamentus!A:U,16,FALSE)&lt;0.1,"Ineficiente",IF(VLOOKUP(BP52,Fundamentus!A:U,16,FALSE)&gt;0.1,"Eficiente","n/a"))</f>
        <v>Ineficiente</v>
      </c>
      <c r="ET52" s="33" t="str">
        <f>IF(VLOOKUP(BP52,Fundamentus!A:U,16,FALSE)&lt;0.1,"Oper. Ineficiente",IF(VLOOKUP(BP52,Fundamentus!A:U,16,FALSE)&gt;0.1,"Oper.Eficiente","n/a"))</f>
        <v>Oper. Ineficiente</v>
      </c>
      <c r="EU52" s="34">
        <f>VLOOKUP(BP52,Fundamentus!A:U,14,FALSE)</f>
        <v>1.8759999999999999</v>
      </c>
      <c r="EV52" s="17" t="str">
        <f>IF(VLOOKUP(BP52,Fundamentus!A:U,21,FALSE)&lt;0,"Negativo",IF(VLOOKUP(BP52,Fundamentus!A:U,21,FALSE)&lt;0.05,"Fraco",IF(VLOOKUP(BP52,Fundamentus!A:U,21,FALSE)&lt;0.1,"Bom",IF(VLOOKUP(BP52,Fundamentus!A:U,21,FALSE)&gt;0.1,"Muito bom","n/a"))))</f>
        <v>Fraco</v>
      </c>
      <c r="EX52" s="29" t="str">
        <f>IF(VLOOKUP(BP52,Fundamentus!A:U,15,FALSE)&gt;1,"Bom",IF(VLOOKUP(BP52,Fundamentus!A:U,15,FALSE)&lt;1,"Ruim","n/a"))</f>
        <v>Bom</v>
      </c>
      <c r="EY52" s="17" t="str">
        <f>IF(VLOOKUP(BP52,Fundamentus!A:U,20,FALSE)&lt;0.5,"Baixa",IF(VLOOKUP(BP52,Fundamentus!A:U,20,FALSE)&lt;1,"Moderada",IF(VLOOKUP(BP52,Fundamentus!A:U,20,FALSE)&lt;2,"Alerta",IF(VLOOKUP(BP52,Fundamentus!A:U,20,FALSE)&gt;2,"Alta","n/a"))))</f>
        <v>Baixa</v>
      </c>
    </row>
    <row r="53" spans="1:155" s="2" customFormat="1" ht="11.25" x14ac:dyDescent="0.2">
      <c r="A53" s="4">
        <v>25.46</v>
      </c>
      <c r="B53" s="4">
        <v>23.53</v>
      </c>
      <c r="C53" s="4">
        <v>23.24</v>
      </c>
      <c r="D53" s="4">
        <v>21.86</v>
      </c>
      <c r="E53" s="4">
        <v>22.55</v>
      </c>
      <c r="F53" s="4">
        <v>22.6</v>
      </c>
      <c r="G53" s="4">
        <v>21.73</v>
      </c>
      <c r="H53" s="4">
        <v>21.9</v>
      </c>
      <c r="I53" s="4">
        <v>21.6</v>
      </c>
      <c r="J53" s="4">
        <v>23.05</v>
      </c>
      <c r="K53" s="4">
        <v>22.97</v>
      </c>
      <c r="L53" s="4">
        <v>22.36</v>
      </c>
      <c r="M53" s="4">
        <v>21.1</v>
      </c>
      <c r="N53" s="4">
        <v>20.68</v>
      </c>
      <c r="O53" s="4">
        <v>22.79</v>
      </c>
      <c r="P53" s="4">
        <v>22.88</v>
      </c>
      <c r="Q53" s="4">
        <v>23.3</v>
      </c>
      <c r="R53" s="4">
        <v>22.05</v>
      </c>
      <c r="S53" s="4">
        <v>22.19</v>
      </c>
      <c r="T53" s="4">
        <v>23.12</v>
      </c>
      <c r="U53" s="4">
        <v>22</v>
      </c>
      <c r="V53" s="4">
        <v>21.53</v>
      </c>
      <c r="W53" s="4">
        <v>22.05</v>
      </c>
      <c r="X53" s="4">
        <v>21.9</v>
      </c>
      <c r="Y53" s="4">
        <v>21.43</v>
      </c>
      <c r="Z53" s="4">
        <v>21.4</v>
      </c>
      <c r="AA53" s="4">
        <v>21.06</v>
      </c>
      <c r="AB53" s="4">
        <v>20.45</v>
      </c>
      <c r="AC53" s="4">
        <v>19.79</v>
      </c>
      <c r="AD53" s="4">
        <v>19.95</v>
      </c>
      <c r="AE53" s="4">
        <v>18.22</v>
      </c>
      <c r="AF53" s="4">
        <v>18.43</v>
      </c>
      <c r="AG53" s="4">
        <v>18.55</v>
      </c>
      <c r="AH53" s="4">
        <v>17.190000000000001</v>
      </c>
      <c r="AI53" s="4">
        <v>16.98</v>
      </c>
      <c r="AJ53" s="4">
        <v>16.7</v>
      </c>
      <c r="AK53" s="4">
        <v>17.5</v>
      </c>
      <c r="AL53" s="4">
        <v>17.91</v>
      </c>
      <c r="AM53" s="4">
        <v>18.68</v>
      </c>
      <c r="AN53" s="4">
        <v>19.48</v>
      </c>
      <c r="AO53" s="4">
        <v>18.38</v>
      </c>
      <c r="AP53" s="4">
        <v>19.37</v>
      </c>
      <c r="AQ53" s="4">
        <v>19.440000000000001</v>
      </c>
      <c r="AR53" s="4">
        <v>17.84</v>
      </c>
      <c r="AS53" s="4">
        <v>18.920000000000002</v>
      </c>
      <c r="AT53" s="4">
        <v>19.7</v>
      </c>
      <c r="AU53" s="4">
        <v>20.7</v>
      </c>
      <c r="AV53" s="4">
        <v>21.35</v>
      </c>
      <c r="AW53" s="4">
        <v>20.2</v>
      </c>
      <c r="AX53" s="4">
        <v>21.61</v>
      </c>
      <c r="AY53" s="12">
        <v>23.1</v>
      </c>
      <c r="AZ53" s="12">
        <v>24.14</v>
      </c>
      <c r="BA53" s="12">
        <v>24.45</v>
      </c>
      <c r="BB53" s="15">
        <v>23.37</v>
      </c>
      <c r="BC53" s="52">
        <v>22.95</v>
      </c>
      <c r="BD53" s="52">
        <v>23.28</v>
      </c>
      <c r="BE53" s="52">
        <v>24.01</v>
      </c>
      <c r="BF53" s="52">
        <v>24.31</v>
      </c>
      <c r="BG53" s="67">
        <v>24.17</v>
      </c>
      <c r="BH53" s="52">
        <v>23.91</v>
      </c>
      <c r="BI53" s="52">
        <v>24.29</v>
      </c>
      <c r="BJ53" s="52">
        <v>23.36</v>
      </c>
      <c r="BK53" s="52">
        <v>22.71</v>
      </c>
      <c r="BL53" s="52">
        <v>21.95</v>
      </c>
      <c r="BM53" s="52">
        <v>20.94</v>
      </c>
      <c r="BN53" s="52">
        <v>20.95</v>
      </c>
      <c r="BO53" s="52" cm="1">
        <f t="array" aca="1" ref="BO53" ca="1">_FV(EC53,"Preço")</f>
        <v>20.95</v>
      </c>
      <c r="BP53" s="69" t="s">
        <v>50</v>
      </c>
      <c r="BQ53" s="36" cm="1">
        <f t="array" aca="1" ref="BQ53" ca="1">_FV(EC53,"Média de volume",TRUE)</f>
        <v>3960730</v>
      </c>
      <c r="BR53" s="36">
        <v>4693300</v>
      </c>
      <c r="BS53" s="36" cm="1">
        <f t="array" aca="1" ref="BS53" ca="1">_FV(EC53,"Volume")</f>
        <v>4693300</v>
      </c>
      <c r="BT53" s="24" cm="1">
        <f t="array" aca="1" ref="BT53" ca="1">_FV(EC53,"Beta")</f>
        <v>2.1242000000000001</v>
      </c>
      <c r="BU53" s="71" cm="1">
        <f t="array" aca="1" ref="BU53" ca="1">_FV(EC53,"Variação (%)",TRUE)</f>
        <v>1.11E-2</v>
      </c>
      <c r="BW53" s="17" cm="1">
        <f t="array" aca="1" ref="BW53" ca="1">_FV(EC53,"Baixo")</f>
        <v>20.81</v>
      </c>
      <c r="BX53" s="17" cm="1">
        <f t="array" aca="1" ref="BX53" ca="1">_FV(EC53,"Alto")</f>
        <v>21.38</v>
      </c>
      <c r="BY53" s="24"/>
      <c r="BZ53" s="63">
        <f ca="1">SQRT(22.5*(BO53/VLOOKUP(BP53,Fundamentus!A:U,3,FALSE))*(BO53/VLOOKUP(BP53,Fundamentus!A:U,4,FALSE)))</f>
        <v>12.342944125526595</v>
      </c>
      <c r="CB53" s="62">
        <f t="shared" ca="1" si="24"/>
        <v>0</v>
      </c>
      <c r="CC53" s="8"/>
      <c r="CD53" s="61">
        <f t="shared" si="25"/>
        <v>16.7</v>
      </c>
      <c r="CE53" s="61">
        <f t="shared" si="26"/>
        <v>25.46</v>
      </c>
      <c r="CF53" s="61">
        <f t="shared" si="27"/>
        <v>21.38727272727273</v>
      </c>
      <c r="CG53" s="14"/>
      <c r="CH53" s="35">
        <f t="shared" si="1"/>
        <v>18.150700127983725</v>
      </c>
      <c r="CI53" s="15">
        <f t="shared" si="28"/>
        <v>20.0649999999996</v>
      </c>
      <c r="CJ53" s="35">
        <f t="shared" si="2"/>
        <v>21.979299872015474</v>
      </c>
      <c r="CL53" s="14"/>
      <c r="CM53" s="17">
        <f t="shared" si="3"/>
        <v>7.8533333333333282</v>
      </c>
      <c r="CN53" s="17">
        <f t="shared" si="4"/>
        <v>12.276666666666664</v>
      </c>
      <c r="CO53" s="17">
        <f t="shared" si="5"/>
        <v>16.61333333333333</v>
      </c>
      <c r="CP53" s="38">
        <f t="shared" si="29"/>
        <v>21.036666666666665</v>
      </c>
      <c r="CQ53" s="17">
        <f t="shared" si="6"/>
        <v>25.373333333333331</v>
      </c>
      <c r="CR53" s="17">
        <f t="shared" si="7"/>
        <v>29.796666666666667</v>
      </c>
      <c r="CS53" s="17">
        <f t="shared" si="8"/>
        <v>34.133333333333333</v>
      </c>
      <c r="CT53" s="2" cm="1">
        <f t="array" aca="1" ref="CT53" ca="1">MAX(_xlfn._xlws.FILTER(CM53:CS53,CM53:CS53&lt;BO53))</f>
        <v>16.61333333333333</v>
      </c>
      <c r="CU53" s="2" cm="1">
        <f t="array" aca="1" ref="CU53" ca="1">MIN(_xlfn._xlws.FILTER($CM53:$CS53,$CM53:$CS53&gt;BO53))</f>
        <v>21.036666666666665</v>
      </c>
      <c r="CV53" s="16">
        <f t="shared" ca="1" si="80"/>
        <v>0.26625200642054603</v>
      </c>
      <c r="CW53" s="20">
        <f t="shared" ca="1" si="81"/>
        <v>-0.13312600321027301</v>
      </c>
      <c r="CX53" s="20">
        <f t="shared" ca="1" si="82"/>
        <v>-8.8750668806848676E-2</v>
      </c>
      <c r="CY53" s="20">
        <f t="shared" ca="1" si="83"/>
        <v>-5.3250401284109204E-2</v>
      </c>
      <c r="CZ53" s="20">
        <f t="shared" ca="1" si="84"/>
        <v>-2.9583556268949558E-2</v>
      </c>
      <c r="DA53" s="20">
        <f t="shared" ca="1" si="85"/>
        <v>-1.5661882730620354E-2</v>
      </c>
      <c r="DB53" s="20">
        <f t="shared" ca="1" si="86"/>
        <v>-8.0682426188044259E-3</v>
      </c>
      <c r="DC53" s="20">
        <f t="shared" ca="1" si="87"/>
        <v>-4.0961847141622468E-3</v>
      </c>
      <c r="DD53" s="21">
        <f t="shared" ca="1" si="88"/>
        <v>4.0961847141622468E-3</v>
      </c>
      <c r="DE53" s="21">
        <f t="shared" ca="1" si="89"/>
        <v>8.0682426188044259E-3</v>
      </c>
      <c r="DF53" s="21">
        <f t="shared" ca="1" si="90"/>
        <v>1.5661882730620354E-2</v>
      </c>
      <c r="DG53" s="21">
        <f t="shared" ca="1" si="91"/>
        <v>2.9583556268949558E-2</v>
      </c>
      <c r="DH53" s="21">
        <f t="shared" ca="1" si="92"/>
        <v>5.3250401284109204E-2</v>
      </c>
      <c r="DI53" s="21">
        <f t="shared" ca="1" si="93"/>
        <v>8.8750668806848676E-2</v>
      </c>
      <c r="DJ53" s="21">
        <f t="shared" ca="1" si="94"/>
        <v>0.13312600321027301</v>
      </c>
      <c r="DL53" s="16" cm="1">
        <f t="array" aca="1" ref="DL53" ca="1">MAX(_xlfn._xlws.FILTER(CW53:DJ53,CW53:DJ53&lt;BU53))</f>
        <v>8.0682426188044259E-3</v>
      </c>
      <c r="DM53" s="16" cm="1">
        <f t="array" aca="1" ref="DM53" ca="1">MIN(_xlfn._xlws.FILTER(CW53:DJ53,CW53:DJ53&gt;BU53))</f>
        <v>1.5661882730620354E-2</v>
      </c>
      <c r="DN53" s="2" cm="1">
        <f t="array" aca="1" ref="DN53" ca="1">_FV(EC53,"Fechamento anterior",TRUE)</f>
        <v>20.72</v>
      </c>
      <c r="DO53" s="28">
        <f t="shared" ca="1" si="15"/>
        <v>0.39930039308336729</v>
      </c>
      <c r="DP53" s="15">
        <f t="shared" ca="1" si="95"/>
        <v>20.887173987061626</v>
      </c>
      <c r="DQ53" s="15">
        <f t="shared" ca="1" si="96"/>
        <v>21.044514210178452</v>
      </c>
      <c r="DR53" s="9"/>
      <c r="DS53" s="9"/>
      <c r="DT53" s="9"/>
      <c r="DU53" s="89">
        <v>3.5310368643701987E-3</v>
      </c>
      <c r="DV53" s="89">
        <f t="shared" ca="1" si="18"/>
        <v>7.5936401118159285E-3</v>
      </c>
      <c r="DW53" s="72">
        <f t="shared" ca="1" si="19"/>
        <v>0.46231001367013652</v>
      </c>
      <c r="DX53" s="37"/>
      <c r="DY53" s="35">
        <f t="shared" si="39"/>
        <v>0.95714993600793785</v>
      </c>
      <c r="DZ53" s="56"/>
      <c r="EA53" s="56"/>
      <c r="EC53" s="2" t="e" vm="53">
        <v>#VALUE!</v>
      </c>
      <c r="EE53" s="10" cm="1">
        <f t="array" aca="1" ref="EE53" ca="1">_FV(EC53,"Ações em circulação",TRUE)</f>
        <v>597250100</v>
      </c>
      <c r="EF53" s="18">
        <f>VLOOKUP(BP53,Fundamentus!A:U,5,FALSE)</f>
        <v>2.1509999999999998</v>
      </c>
      <c r="EG53" s="2">
        <f t="shared" ca="1" si="20"/>
        <v>5817010504.4165506</v>
      </c>
      <c r="EH53" s="17">
        <v>453145118.29404926</v>
      </c>
      <c r="EI53" s="17">
        <f t="shared" ca="1" si="21"/>
        <v>453145118.29404926</v>
      </c>
      <c r="EK53" s="16">
        <f t="shared" ca="1" si="22"/>
        <v>0</v>
      </c>
      <c r="EL53" s="32" t="str">
        <f>IF(VLOOKUP(BP53,Fundamentus!A:U,3,FALSE)&lt;15,"Bom",IF(VLOOKUP(BP53,Fundamentus!A:U,3,FALSE)&gt;15,"Ruim","n/a"))</f>
        <v>Ruim</v>
      </c>
      <c r="EM53" s="28" t="str">
        <f>IF(VLOOKUP(BP53,Fundamentus!A:U,4,FALSE)&lt;1,"Baixo",IF(VLOOKUP(BP53,Fundamentus!A:U,4,FALSE)&lt;1.5,"Moderado",IF(VLOOKUP(BP53,Fundamentus!A:U,4,FALSE)&gt;1.5,"Alto","n/a")))</f>
        <v>Alto</v>
      </c>
      <c r="EN53" s="17" t="str">
        <f>IF(VLOOKUP(BP53,Fundamentus!A:U,8,FALSE)&lt;0,"Risco elevado",IF(VLOOKUP(BP53,Fundamentus!A:U,8,FALSE)&lt;1,"Saudável",IF(VLOOKUP(BP53,Fundamentus!A:U,8,FALSE)&lt;3,"Estável",IF(VLOOKUP(BP53,Fundamentus!A:U,8,FALSE)&gt;3,"Alerta","n/a"))))</f>
        <v>Alerta</v>
      </c>
      <c r="EO53" s="28" t="str">
        <f t="shared" si="23"/>
        <v>Bom</v>
      </c>
      <c r="EP53" s="17" t="str">
        <f>IF(VLOOKUP(BP53,Fundamentus!A:U,12,FALSE)&lt;2,"Subvalorizada",IF(VLOOKUP(BP53,Fundamentus!A:U,12,FALSE)&lt;6,"Muita barata",IF(VLOOKUP(BP53,Fundamentus!A:U,12,FALSE)&lt;6,"Barata",IF(VLOOKUP(BP53,Fundamentus!A:U,12,FALSE)&lt;8,"Atrativa",IF(VLOOKUP(BP53,Fundamentus!A:U,12,FALSE)&gt;8,"Supervalorizada","n/a")))))</f>
        <v>Muita barata</v>
      </c>
      <c r="ER53" s="17" t="str">
        <f>IF(VLOOKUP(BP53,Fundamentus!A:U,17,FALSE)&lt;0.1,"Fraco retorno",IF(VLOOKUP(BP53,Fundamentus!A:U,17,FALSE)&gt;0.1,"Bom retorno","n/a"))</f>
        <v>Fraco retorno</v>
      </c>
      <c r="ES53" s="17" t="str">
        <f>IF(VLOOKUP(BP53,Fundamentus!A:U,16,FALSE)&lt;0.1,"Ineficiente",IF(VLOOKUP(BP53,Fundamentus!A:U,16,FALSE)&gt;0.1,"Eficiente","n/a"))</f>
        <v>Ineficiente</v>
      </c>
      <c r="ET53" s="33" t="str">
        <f>IF(VLOOKUP(BP53,Fundamentus!A:U,16,FALSE)&lt;0.1,"Oper. Ineficiente",IF(VLOOKUP(BP53,Fundamentus!A:U,16,FALSE)&gt;0.1,"Oper.Eficiente","n/a"))</f>
        <v>Oper. Ineficiente</v>
      </c>
      <c r="EU53" s="34">
        <f>VLOOKUP(BP53,Fundamentus!A:U,14,FALSE)</f>
        <v>7.7899999999999997E-2</v>
      </c>
      <c r="EV53" s="17" t="str">
        <f>IF(VLOOKUP(BP53,Fundamentus!A:U,21,FALSE)&lt;0,"Negativo",IF(VLOOKUP(BP53,Fundamentus!A:U,21,FALSE)&lt;0.05,"Fraco",IF(VLOOKUP(BP53,Fundamentus!A:U,21,FALSE)&lt;0.1,"Bom",IF(VLOOKUP(BP53,Fundamentus!A:U,21,FALSE)&gt;0.1,"Muito bom","n/a"))))</f>
        <v>Muito bom</v>
      </c>
      <c r="EX53" s="29" t="str">
        <f>IF(VLOOKUP(BP53,Fundamentus!A:U,15,FALSE)&gt;1,"Bom",IF(VLOOKUP(BP53,Fundamentus!A:U,15,FALSE)&lt;1,"Ruim","n/a"))</f>
        <v>Bom</v>
      </c>
      <c r="EY53" s="17" t="str">
        <f>IF(VLOOKUP(BP53,Fundamentus!A:U,20,FALSE)&lt;0.5,"Baixa",IF(VLOOKUP(BP53,Fundamentus!A:U,20,FALSE)&lt;1,"Moderada",IF(VLOOKUP(BP53,Fundamentus!A:U,20,FALSE)&lt;2,"Alerta",IF(VLOOKUP(BP53,Fundamentus!A:U,20,FALSE)&gt;2,"Alta","n/a"))))</f>
        <v>Alerta</v>
      </c>
    </row>
    <row r="54" spans="1:155" s="2" customFormat="1" ht="11.25" x14ac:dyDescent="0.2">
      <c r="A54" s="4">
        <v>14.83</v>
      </c>
      <c r="B54" s="4">
        <v>14.75</v>
      </c>
      <c r="C54" s="4">
        <v>14.56</v>
      </c>
      <c r="D54" s="4">
        <v>14.3</v>
      </c>
      <c r="E54" s="4">
        <v>14.05</v>
      </c>
      <c r="F54" s="4">
        <v>14.42</v>
      </c>
      <c r="G54" s="4">
        <v>14.2</v>
      </c>
      <c r="H54" s="4">
        <v>14.21</v>
      </c>
      <c r="I54" s="4">
        <v>14.99</v>
      </c>
      <c r="J54" s="4">
        <v>15.07</v>
      </c>
      <c r="K54" s="4">
        <v>15.58</v>
      </c>
      <c r="L54" s="4">
        <v>15.61</v>
      </c>
      <c r="M54" s="4">
        <v>15.32</v>
      </c>
      <c r="N54" s="4">
        <v>15.38</v>
      </c>
      <c r="O54" s="4">
        <v>15.85</v>
      </c>
      <c r="P54" s="4">
        <v>15.77</v>
      </c>
      <c r="Q54" s="4">
        <v>16</v>
      </c>
      <c r="R54" s="4">
        <v>15.95</v>
      </c>
      <c r="S54" s="4">
        <v>16.73</v>
      </c>
      <c r="T54" s="4">
        <v>16.670000000000002</v>
      </c>
      <c r="U54" s="4">
        <v>16.45</v>
      </c>
      <c r="V54" s="4">
        <v>15.59</v>
      </c>
      <c r="W54" s="4">
        <v>15.15</v>
      </c>
      <c r="X54" s="4">
        <v>14.81</v>
      </c>
      <c r="Y54" s="4">
        <v>14.95</v>
      </c>
      <c r="Z54" s="4">
        <v>15.03</v>
      </c>
      <c r="AA54" s="4">
        <v>14.24</v>
      </c>
      <c r="AB54" s="4">
        <v>13.59</v>
      </c>
      <c r="AC54" s="4">
        <v>13.77</v>
      </c>
      <c r="AD54" s="4">
        <v>13.58</v>
      </c>
      <c r="AE54" s="4">
        <v>13.18</v>
      </c>
      <c r="AF54" s="4">
        <v>13.09</v>
      </c>
      <c r="AG54" s="4">
        <v>13.13</v>
      </c>
      <c r="AH54" s="4">
        <v>12.37</v>
      </c>
      <c r="AI54" s="4">
        <v>12.24</v>
      </c>
      <c r="AJ54" s="4">
        <v>11.95</v>
      </c>
      <c r="AK54" s="4">
        <v>11.84</v>
      </c>
      <c r="AL54" s="4">
        <v>11.54</v>
      </c>
      <c r="AM54" s="4">
        <v>11.58</v>
      </c>
      <c r="AN54" s="4">
        <v>11.84</v>
      </c>
      <c r="AO54" s="4">
        <v>11.69</v>
      </c>
      <c r="AP54" s="4">
        <v>12.45</v>
      </c>
      <c r="AQ54" s="4">
        <v>11.74</v>
      </c>
      <c r="AR54" s="4">
        <v>11.09</v>
      </c>
      <c r="AS54" s="4">
        <v>11.06</v>
      </c>
      <c r="AT54" s="4">
        <v>11.55</v>
      </c>
      <c r="AU54" s="4">
        <v>11.914999999999999</v>
      </c>
      <c r="AV54" s="4">
        <v>11.75</v>
      </c>
      <c r="AW54" s="4">
        <v>11.7</v>
      </c>
      <c r="AX54" s="4">
        <v>12.02</v>
      </c>
      <c r="AY54" s="12">
        <v>12.29</v>
      </c>
      <c r="AZ54" s="12">
        <v>12.98</v>
      </c>
      <c r="BA54" s="12">
        <v>12.99</v>
      </c>
      <c r="BB54" s="15">
        <v>13.18</v>
      </c>
      <c r="BC54" s="52">
        <v>12.65</v>
      </c>
      <c r="BD54" s="52">
        <v>12.59</v>
      </c>
      <c r="BE54" s="52">
        <v>12.85</v>
      </c>
      <c r="BF54" s="52">
        <v>13.07</v>
      </c>
      <c r="BG54" s="67">
        <v>13.02</v>
      </c>
      <c r="BH54" s="52">
        <v>13.06</v>
      </c>
      <c r="BI54" s="52">
        <v>12.73</v>
      </c>
      <c r="BJ54" s="52">
        <v>13.02</v>
      </c>
      <c r="BK54" s="52">
        <v>12.62</v>
      </c>
      <c r="BL54" s="52">
        <v>12.63</v>
      </c>
      <c r="BM54" s="52">
        <v>14.48</v>
      </c>
      <c r="BN54" s="52">
        <v>14.24</v>
      </c>
      <c r="BO54" s="52" cm="1">
        <f t="array" aca="1" ref="BO54" ca="1">_FV(EC54,"Preço")</f>
        <v>14.24</v>
      </c>
      <c r="BP54" s="69" t="s">
        <v>51</v>
      </c>
      <c r="BQ54" s="36" cm="1">
        <f t="array" aca="1" ref="BQ54" ca="1">_FV(EC54,"Média de volume",TRUE)</f>
        <v>5811060</v>
      </c>
      <c r="BR54" s="36">
        <v>6551600</v>
      </c>
      <c r="BS54" s="36" cm="1">
        <f t="array" aca="1" ref="BS54" ca="1">_FV(EC54,"Volume")</f>
        <v>6551600</v>
      </c>
      <c r="BT54" s="24" cm="1">
        <f t="array" aca="1" ref="BT54" ca="1">_FV(EC54,"Beta")</f>
        <v>0.60580000000000001</v>
      </c>
      <c r="BU54" s="71" cm="1">
        <f t="array" aca="1" ref="BU54" ca="1">_FV(EC54,"Variação (%)",TRUE)</f>
        <v>-7.6659999999999992E-3</v>
      </c>
      <c r="BW54" s="17" cm="1">
        <f t="array" aca="1" ref="BW54" ca="1">_FV(EC54,"Baixo")</f>
        <v>14.24</v>
      </c>
      <c r="BX54" s="17" cm="1">
        <f t="array" aca="1" ref="BX54" ca="1">_FV(EC54,"Alto")</f>
        <v>14.59</v>
      </c>
      <c r="BY54" s="24"/>
      <c r="BZ54" s="63">
        <f ca="1">SQRT(22.5*(BO54/VLOOKUP(BP54,Fundamentus!A:U,3,FALSE))*(BO54/VLOOKUP(BP54,Fundamentus!A:U,4,FALSE)))</f>
        <v>15.404024178453117</v>
      </c>
      <c r="CB54" s="62">
        <f t="shared" ca="1" si="24"/>
        <v>0</v>
      </c>
      <c r="CC54" s="8"/>
      <c r="CD54" s="61">
        <f t="shared" si="25"/>
        <v>11.06</v>
      </c>
      <c r="CE54" s="61">
        <f t="shared" si="26"/>
        <v>16.73</v>
      </c>
      <c r="CF54" s="61">
        <f t="shared" si="27"/>
        <v>13.629166666666666</v>
      </c>
      <c r="CG54" s="14"/>
      <c r="CH54" s="35">
        <f t="shared" si="1"/>
        <v>13.565586088317678</v>
      </c>
      <c r="CI54" s="15">
        <f t="shared" si="28"/>
        <v>15.170000000000073</v>
      </c>
      <c r="CJ54" s="35">
        <f t="shared" si="2"/>
        <v>16.774413911682466</v>
      </c>
      <c r="CL54" s="14"/>
      <c r="CM54" s="17">
        <f t="shared" si="3"/>
        <v>5.6199999999999992</v>
      </c>
      <c r="CN54" s="17">
        <f t="shared" si="4"/>
        <v>8.34</v>
      </c>
      <c r="CO54" s="17">
        <f t="shared" si="5"/>
        <v>11.29</v>
      </c>
      <c r="CP54" s="38">
        <f t="shared" si="29"/>
        <v>14.01</v>
      </c>
      <c r="CQ54" s="17">
        <f t="shared" si="6"/>
        <v>16.96</v>
      </c>
      <c r="CR54" s="17">
        <f t="shared" si="7"/>
        <v>19.68</v>
      </c>
      <c r="CS54" s="17">
        <f t="shared" si="8"/>
        <v>22.63</v>
      </c>
      <c r="CT54" s="2" cm="1">
        <f t="array" aca="1" ref="CT54" ca="1">MAX(_xlfn._xlws.FILTER(CM54:CS54,CM54:CS54&lt;BO54))</f>
        <v>14.01</v>
      </c>
      <c r="CU54" s="2" cm="1">
        <f t="array" aca="1" ref="CU54" ca="1">MIN(_xlfn._xlws.FILTER($CM54:$CS54,$CM54:$CS54&gt;BO54))</f>
        <v>16.96</v>
      </c>
      <c r="CV54" s="16">
        <f t="shared" ca="1" si="80"/>
        <v>0.21056388294075679</v>
      </c>
      <c r="CW54" s="20">
        <f t="shared" ca="1" si="81"/>
        <v>-0.10528194147037839</v>
      </c>
      <c r="CX54" s="20">
        <f t="shared" ca="1" si="82"/>
        <v>-7.0187960980252262E-2</v>
      </c>
      <c r="CY54" s="20">
        <f t="shared" ca="1" si="83"/>
        <v>-4.2112776588151359E-2</v>
      </c>
      <c r="CZ54" s="20">
        <f t="shared" ca="1" si="84"/>
        <v>-2.3395986993417422E-2</v>
      </c>
      <c r="DA54" s="20">
        <f t="shared" ca="1" si="85"/>
        <v>-1.2386110761220988E-2</v>
      </c>
      <c r="DB54" s="20">
        <f t="shared" ca="1" si="86"/>
        <v>-6.380723725477478E-3</v>
      </c>
      <c r="DC54" s="20">
        <f t="shared" ca="1" si="87"/>
        <v>-3.2394443529347198E-3</v>
      </c>
      <c r="DD54" s="21">
        <f t="shared" ca="1" si="88"/>
        <v>3.2394443529347198E-3</v>
      </c>
      <c r="DE54" s="21">
        <f t="shared" ca="1" si="89"/>
        <v>6.380723725477478E-3</v>
      </c>
      <c r="DF54" s="21">
        <f t="shared" ca="1" si="90"/>
        <v>1.2386110761220988E-2</v>
      </c>
      <c r="DG54" s="21">
        <f t="shared" ca="1" si="91"/>
        <v>2.3395986993417422E-2</v>
      </c>
      <c r="DH54" s="21">
        <f t="shared" ca="1" si="92"/>
        <v>4.2112776588151359E-2</v>
      </c>
      <c r="DI54" s="21">
        <f t="shared" ca="1" si="93"/>
        <v>7.0187960980252262E-2</v>
      </c>
      <c r="DJ54" s="21">
        <f t="shared" ca="1" si="94"/>
        <v>0.10528194147037839</v>
      </c>
      <c r="DL54" s="16" cm="1">
        <f t="array" aca="1" ref="DL54" ca="1">MAX(_xlfn._xlws.FILTER(CW54:DJ54,CW54:DJ54&lt;BU54))</f>
        <v>-1.2386110761220988E-2</v>
      </c>
      <c r="DM54" s="16" cm="1">
        <f t="array" aca="1" ref="DM54" ca="1">MIN(_xlfn._xlws.FILTER(CW54:DJ54,CW54:DJ54&gt;BU54))</f>
        <v>-6.380723725477478E-3</v>
      </c>
      <c r="DN54" s="2" cm="1">
        <f t="array" aca="1" ref="DN54" ca="1">_FV(EC54,"Fechamento anterior",TRUE)</f>
        <v>14.35</v>
      </c>
      <c r="DO54" s="28">
        <f t="shared" ca="1" si="15"/>
        <v>0.78606183192582557</v>
      </c>
      <c r="DP54" s="15">
        <f t="shared" ca="1" si="95"/>
        <v>14.172259310576479</v>
      </c>
      <c r="DQ54" s="15">
        <f t="shared" ca="1" si="96"/>
        <v>14.258436614539399</v>
      </c>
      <c r="DR54" s="9"/>
      <c r="DS54" s="9"/>
      <c r="DT54" s="9"/>
      <c r="DU54" s="89">
        <v>1.5921710924184946E-2</v>
      </c>
      <c r="DV54" s="89">
        <f t="shared" ca="1" si="18"/>
        <v>6.0053870357435098E-3</v>
      </c>
      <c r="DW54" s="72">
        <f t="shared" ca="1" si="19"/>
        <v>-0.57965092002030261</v>
      </c>
      <c r="DX54" s="37"/>
      <c r="DY54" s="35">
        <f t="shared" si="39"/>
        <v>0.80220695584119706</v>
      </c>
      <c r="DZ54" s="56"/>
      <c r="EA54" s="56"/>
      <c r="EC54" s="2" t="e" vm="54">
        <v>#VALUE!</v>
      </c>
      <c r="EE54" s="10" cm="1">
        <f t="array" aca="1" ref="EE54" ca="1">_FV(EC54,"Ações em circulação",TRUE)</f>
        <v>547191000</v>
      </c>
      <c r="EF54" s="18">
        <f>VLOOKUP(BP54,Fundamentus!A:U,5,FALSE)</f>
        <v>1.0189999999999999</v>
      </c>
      <c r="EG54" s="2">
        <f t="shared" ca="1" si="20"/>
        <v>7646712306.1825323</v>
      </c>
      <c r="EH54" s="17">
        <v>599502244.80471051</v>
      </c>
      <c r="EI54" s="17">
        <f t="shared" ca="1" si="21"/>
        <v>599502244.80471051</v>
      </c>
      <c r="EK54" s="16">
        <f t="shared" ca="1" si="22"/>
        <v>0</v>
      </c>
      <c r="EL54" s="32" t="str">
        <f>IF(VLOOKUP(BP54,Fundamentus!A:U,3,FALSE)&lt;15,"Bom",IF(VLOOKUP(BP54,Fundamentus!A:U,3,FALSE)&gt;15,"Ruim","n/a"))</f>
        <v>Bom</v>
      </c>
      <c r="EM54" s="28" t="str">
        <f>IF(VLOOKUP(BP54,Fundamentus!A:U,4,FALSE)&lt;1,"Baixo",IF(VLOOKUP(BP54,Fundamentus!A:U,4,FALSE)&lt;1.5,"Moderado",IF(VLOOKUP(BP54,Fundamentus!A:U,4,FALSE)&gt;1.5,"Alto","n/a")))</f>
        <v>Alto</v>
      </c>
      <c r="EN54" s="17" t="str">
        <f>IF(VLOOKUP(BP54,Fundamentus!A:U,8,FALSE)&lt;0,"Risco elevado",IF(VLOOKUP(BP54,Fundamentus!A:U,8,FALSE)&lt;1,"Saudável",IF(VLOOKUP(BP54,Fundamentus!A:U,8,FALSE)&lt;3,"Estável",IF(VLOOKUP(BP54,Fundamentus!A:U,8,FALSE)&gt;3,"Alerta","n/a"))))</f>
        <v>Alerta</v>
      </c>
      <c r="EO54" s="28" t="str">
        <f t="shared" si="23"/>
        <v>Bom</v>
      </c>
      <c r="EP54" s="17" t="str">
        <f>IF(VLOOKUP(BP54,Fundamentus!A:U,12,FALSE)&lt;2,"Subvalorizada",IF(VLOOKUP(BP54,Fundamentus!A:U,12,FALSE)&lt;6,"Muita barata",IF(VLOOKUP(BP54,Fundamentus!A:U,12,FALSE)&lt;6,"Barata",IF(VLOOKUP(BP54,Fundamentus!A:U,12,FALSE)&lt;8,"Atrativa",IF(VLOOKUP(BP54,Fundamentus!A:U,12,FALSE)&gt;8,"Supervalorizada","n/a")))))</f>
        <v>Muita barata</v>
      </c>
      <c r="ER54" s="17" t="str">
        <f>IF(VLOOKUP(BP54,Fundamentus!A:U,17,FALSE)&lt;0.1,"Fraco retorno",IF(VLOOKUP(BP54,Fundamentus!A:U,17,FALSE)&gt;0.1,"Bom retorno","n/a"))</f>
        <v>Bom retorno</v>
      </c>
      <c r="ES54" s="17" t="str">
        <f>IF(VLOOKUP(BP54,Fundamentus!A:U,16,FALSE)&lt;0.1,"Ineficiente",IF(VLOOKUP(BP54,Fundamentus!A:U,16,FALSE)&gt;0.1,"Eficiente","n/a"))</f>
        <v>Eficiente</v>
      </c>
      <c r="ET54" s="33" t="str">
        <f>IF(VLOOKUP(BP54,Fundamentus!A:U,16,FALSE)&lt;0.1,"Oper. Ineficiente",IF(VLOOKUP(BP54,Fundamentus!A:U,16,FALSE)&gt;0.1,"Oper.Eficiente","n/a"))</f>
        <v>Oper.Eficiente</v>
      </c>
      <c r="EU54" s="34">
        <f>VLOOKUP(BP54,Fundamentus!A:U,14,FALSE)</f>
        <v>7.8399999999999997E-2</v>
      </c>
      <c r="EV54" s="17" t="str">
        <f>IF(VLOOKUP(BP54,Fundamentus!A:U,21,FALSE)&lt;0,"Negativo",IF(VLOOKUP(BP54,Fundamentus!A:U,21,FALSE)&lt;0.05,"Fraco",IF(VLOOKUP(BP54,Fundamentus!A:U,21,FALSE)&lt;0.1,"Bom",IF(VLOOKUP(BP54,Fundamentus!A:U,21,FALSE)&gt;0.1,"Muito bom","n/a"))))</f>
        <v>Muito bom</v>
      </c>
      <c r="EX54" s="29" t="str">
        <f>IF(VLOOKUP(BP54,Fundamentus!A:U,15,FALSE)&gt;1,"Bom",IF(VLOOKUP(BP54,Fundamentus!A:U,15,FALSE)&lt;1,"Ruim","n/a"))</f>
        <v>Bom</v>
      </c>
      <c r="EY54" s="17" t="str">
        <f>IF(VLOOKUP(BP54,Fundamentus!A:U,20,FALSE)&lt;0.5,"Baixa",IF(VLOOKUP(BP54,Fundamentus!A:U,20,FALSE)&lt;1,"Moderada",IF(VLOOKUP(BP54,Fundamentus!A:U,20,FALSE)&lt;2,"Alerta",IF(VLOOKUP(BP54,Fundamentus!A:U,20,FALSE)&gt;2,"Alta","n/a"))))</f>
        <v>Alerta</v>
      </c>
    </row>
    <row r="55" spans="1:155" s="2" customFormat="1" ht="11.25" x14ac:dyDescent="0.2">
      <c r="A55" s="4">
        <v>10.43</v>
      </c>
      <c r="B55" s="4">
        <v>10.6</v>
      </c>
      <c r="C55" s="4">
        <v>10.7</v>
      </c>
      <c r="D55" s="4">
        <v>10.5</v>
      </c>
      <c r="E55" s="4">
        <v>10.35</v>
      </c>
      <c r="F55" s="4">
        <v>10.11</v>
      </c>
      <c r="G55" s="4">
        <v>10.45</v>
      </c>
      <c r="H55" s="4">
        <v>10.1</v>
      </c>
      <c r="I55" s="4">
        <v>10.48</v>
      </c>
      <c r="J55" s="4">
        <v>11.09</v>
      </c>
      <c r="K55" s="4">
        <v>11</v>
      </c>
      <c r="L55" s="4">
        <v>10.89</v>
      </c>
      <c r="M55" s="4">
        <v>10.8</v>
      </c>
      <c r="N55" s="4">
        <v>10.48</v>
      </c>
      <c r="O55" s="4">
        <v>10.7</v>
      </c>
      <c r="P55" s="4">
        <v>10.85</v>
      </c>
      <c r="Q55" s="4">
        <v>11.28</v>
      </c>
      <c r="R55" s="4">
        <v>11</v>
      </c>
      <c r="S55" s="4">
        <v>10.91</v>
      </c>
      <c r="T55" s="4">
        <v>11.05</v>
      </c>
      <c r="U55" s="4">
        <v>11.2</v>
      </c>
      <c r="V55" s="4">
        <v>10.95</v>
      </c>
      <c r="W55" s="4">
        <v>11.02</v>
      </c>
      <c r="X55" s="4">
        <v>10.87</v>
      </c>
      <c r="Y55" s="4">
        <v>10.44</v>
      </c>
      <c r="Z55" s="4">
        <v>10.050000000000001</v>
      </c>
      <c r="AA55" s="4">
        <v>10</v>
      </c>
      <c r="AB55" s="4">
        <v>9.64</v>
      </c>
      <c r="AC55" s="4">
        <v>9.5399999999999991</v>
      </c>
      <c r="AD55" s="4">
        <v>9.6199999999999992</v>
      </c>
      <c r="AE55" s="4">
        <v>9.3000000000000007</v>
      </c>
      <c r="AF55" s="4">
        <v>9.02</v>
      </c>
      <c r="AG55" s="4">
        <v>9.0500000000000007</v>
      </c>
      <c r="AH55" s="4">
        <v>8.4700000000000006</v>
      </c>
      <c r="AI55" s="4">
        <v>8.32</v>
      </c>
      <c r="AJ55" s="4">
        <v>8.2200000000000006</v>
      </c>
      <c r="AK55" s="4">
        <v>8.7200000000000006</v>
      </c>
      <c r="AL55" s="4">
        <v>8.76</v>
      </c>
      <c r="AM55" s="4">
        <v>9.2100000000000009</v>
      </c>
      <c r="AN55" s="4">
        <v>9.42</v>
      </c>
      <c r="AO55" s="4">
        <v>9.19</v>
      </c>
      <c r="AP55" s="4">
        <v>9.5299999999999994</v>
      </c>
      <c r="AQ55" s="4">
        <v>9.36</v>
      </c>
      <c r="AR55" s="4">
        <v>9.2799999999999994</v>
      </c>
      <c r="AS55" s="4">
        <v>9.4700000000000006</v>
      </c>
      <c r="AT55" s="4">
        <v>9.67</v>
      </c>
      <c r="AU55" s="4">
        <v>9.3849999999999998</v>
      </c>
      <c r="AV55" s="4">
        <v>9.25</v>
      </c>
      <c r="AW55" s="4">
        <v>9.01</v>
      </c>
      <c r="AX55" s="4">
        <v>8.99</v>
      </c>
      <c r="AY55" s="12">
        <v>9.0299999999999994</v>
      </c>
      <c r="AZ55" s="12">
        <v>9.17</v>
      </c>
      <c r="BA55" s="12">
        <v>9.16</v>
      </c>
      <c r="BB55" s="15">
        <v>9.1199999999999992</v>
      </c>
      <c r="BC55" s="52">
        <v>9.58</v>
      </c>
      <c r="BD55" s="52">
        <v>9.27</v>
      </c>
      <c r="BE55" s="52">
        <v>9.2799999999999994</v>
      </c>
      <c r="BF55" s="52">
        <v>9.01</v>
      </c>
      <c r="BG55" s="67">
        <v>9.3800000000000008</v>
      </c>
      <c r="BH55" s="52">
        <v>8.93</v>
      </c>
      <c r="BI55" s="52">
        <v>8.9700000000000006</v>
      </c>
      <c r="BJ55" s="52">
        <v>8.91</v>
      </c>
      <c r="BK55" s="52">
        <v>8.9600000000000009</v>
      </c>
      <c r="BL55" s="52">
        <v>8.4</v>
      </c>
      <c r="BM55" s="52">
        <v>8.4</v>
      </c>
      <c r="BN55" s="52">
        <v>7.88</v>
      </c>
      <c r="BO55" s="52" cm="1">
        <f t="array" aca="1" ref="BO55" ca="1">_FV(EC55,"Preço")</f>
        <v>7.88</v>
      </c>
      <c r="BP55" s="69" t="s">
        <v>52</v>
      </c>
      <c r="BQ55" s="36" cm="1">
        <f t="array" aca="1" ref="BQ55" ca="1">_FV(EC55,"Média de volume",TRUE)</f>
        <v>121560</v>
      </c>
      <c r="BR55" s="36">
        <v>244200</v>
      </c>
      <c r="BS55" s="36" cm="1">
        <f t="array" aca="1" ref="BS55" ca="1">_FV(EC55,"Volume")</f>
        <v>244200</v>
      </c>
      <c r="BT55" s="24" cm="1">
        <f t="array" aca="1" ref="BT55" ca="1">_FV(EC55,"Beta")</f>
        <v>0.62329999999999997</v>
      </c>
      <c r="BU55" s="71" cm="1">
        <f t="array" aca="1" ref="BU55" ca="1">_FV(EC55,"Variação (%)",TRUE)</f>
        <v>-1.2531E-2</v>
      </c>
      <c r="BW55" s="17" cm="1">
        <f t="array" aca="1" ref="BW55" ca="1">_FV(EC55,"Baixo")</f>
        <v>7.88</v>
      </c>
      <c r="BX55" s="17" cm="1">
        <f t="array" aca="1" ref="BX55" ca="1">_FV(EC55,"Alto")</f>
        <v>8.07</v>
      </c>
      <c r="BY55" s="24"/>
      <c r="BZ55" s="63">
        <f ca="1">SQRT(22.5*(BO55/VLOOKUP(BP55,Fundamentus!A:U,3,FALSE))*(BO55/VLOOKUP(BP55,Fundamentus!A:U,4,FALSE)))</f>
        <v>15.941563287412116</v>
      </c>
      <c r="CB55" s="62">
        <f t="shared" ca="1" si="24"/>
        <v>0</v>
      </c>
      <c r="CC55" s="8"/>
      <c r="CD55" s="61">
        <f t="shared" si="25"/>
        <v>7.88</v>
      </c>
      <c r="CE55" s="61">
        <f t="shared" si="26"/>
        <v>11.28</v>
      </c>
      <c r="CF55" s="61">
        <f t="shared" si="27"/>
        <v>9.7299242424242394</v>
      </c>
      <c r="CG55" s="14"/>
      <c r="CH55" s="35">
        <f t="shared" si="1"/>
        <v>6.8082424613556594</v>
      </c>
      <c r="CI55" s="15">
        <f t="shared" si="28"/>
        <v>7.5999999999999091</v>
      </c>
      <c r="CJ55" s="35">
        <f t="shared" si="2"/>
        <v>8.3917575386441587</v>
      </c>
      <c r="CL55" s="14"/>
      <c r="CM55" s="17">
        <f t="shared" si="3"/>
        <v>3.3466666666666685</v>
      </c>
      <c r="CN55" s="17">
        <f t="shared" si="4"/>
        <v>5.6133333333333342</v>
      </c>
      <c r="CO55" s="17">
        <f t="shared" si="5"/>
        <v>6.7466666666666679</v>
      </c>
      <c r="CP55" s="38">
        <f t="shared" si="29"/>
        <v>9.0133333333333336</v>
      </c>
      <c r="CQ55" s="17">
        <f t="shared" si="6"/>
        <v>10.146666666666668</v>
      </c>
      <c r="CR55" s="17">
        <f t="shared" si="7"/>
        <v>12.413333333333334</v>
      </c>
      <c r="CS55" s="17">
        <f t="shared" si="8"/>
        <v>13.546666666666667</v>
      </c>
      <c r="CT55" s="2" cm="1">
        <f t="array" aca="1" ref="CT55" ca="1">MAX(_xlfn._xlws.FILTER(CM55:CS55,CM55:CS55&lt;BO55))</f>
        <v>6.7466666666666679</v>
      </c>
      <c r="CU55" s="2" cm="1">
        <f t="array" aca="1" ref="CU55" ca="1">MIN(_xlfn._xlws.FILTER($CM55:$CS55,$CM55:$CS55&gt;BO55))</f>
        <v>9.0133333333333336</v>
      </c>
      <c r="CV55" s="16">
        <f t="shared" ca="1" si="80"/>
        <v>0.33596837944664015</v>
      </c>
      <c r="CW55" s="20">
        <f t="shared" ca="1" si="81"/>
        <v>-0.16798418972332008</v>
      </c>
      <c r="CX55" s="20">
        <f t="shared" ca="1" si="82"/>
        <v>-0.11198945981554671</v>
      </c>
      <c r="CY55" s="20">
        <f t="shared" ca="1" si="83"/>
        <v>-6.7193675889328036E-2</v>
      </c>
      <c r="CZ55" s="20">
        <f t="shared" ca="1" si="84"/>
        <v>-3.7329819938515571E-2</v>
      </c>
      <c r="DA55" s="20">
        <f t="shared" ca="1" si="85"/>
        <v>-1.9762845849802362E-2</v>
      </c>
      <c r="DB55" s="20">
        <f t="shared" ca="1" si="86"/>
        <v>-1.0180859983231519E-2</v>
      </c>
      <c r="DC55" s="20">
        <f t="shared" ca="1" si="87"/>
        <v>-5.1687442991790794E-3</v>
      </c>
      <c r="DD55" s="21">
        <f t="shared" ca="1" si="88"/>
        <v>5.1687442991790794E-3</v>
      </c>
      <c r="DE55" s="21">
        <f t="shared" ca="1" si="89"/>
        <v>1.0180859983231519E-2</v>
      </c>
      <c r="DF55" s="21">
        <f t="shared" ca="1" si="90"/>
        <v>1.9762845849802362E-2</v>
      </c>
      <c r="DG55" s="21">
        <f t="shared" ca="1" si="91"/>
        <v>3.7329819938515571E-2</v>
      </c>
      <c r="DH55" s="21">
        <f t="shared" ca="1" si="92"/>
        <v>6.7193675889328036E-2</v>
      </c>
      <c r="DI55" s="21">
        <f t="shared" ca="1" si="93"/>
        <v>0.11198945981554671</v>
      </c>
      <c r="DJ55" s="21">
        <f t="shared" ca="1" si="94"/>
        <v>0.16798418972332008</v>
      </c>
      <c r="DL55" s="16" cm="1">
        <f t="array" aca="1" ref="DL55" ca="1">MAX(_xlfn._xlws.FILTER(CW55:DJ55,CW55:DJ55&lt;BU55))</f>
        <v>-1.9762845849802362E-2</v>
      </c>
      <c r="DM55" s="16" cm="1">
        <f t="array" aca="1" ref="DM55" ca="1">MIN(_xlfn._xlws.FILTER(CW55:DJ55,CW55:DJ55&gt;BU55))</f>
        <v>-1.0180859983231519E-2</v>
      </c>
      <c r="DN55" s="2" cm="1">
        <f t="array" aca="1" ref="DN55" ca="1">_FV(EC55,"Fechamento anterior",TRUE)</f>
        <v>7.98</v>
      </c>
      <c r="DO55" s="28">
        <f t="shared" ca="1" si="15"/>
        <v>0.75469924812028932</v>
      </c>
      <c r="DP55" s="15">
        <f t="shared" ca="1" si="95"/>
        <v>7.8222924901185777</v>
      </c>
      <c r="DQ55" s="15">
        <f t="shared" ca="1" si="96"/>
        <v>7.8987567373338132</v>
      </c>
      <c r="DR55" s="9"/>
      <c r="DS55" s="9"/>
      <c r="DT55" s="9"/>
      <c r="DU55" s="89">
        <v>8.3228247162673453E-3</v>
      </c>
      <c r="DV55" s="89">
        <f t="shared" ca="1" si="18"/>
        <v>9.5819858665708423E-3</v>
      </c>
      <c r="DW55" s="72">
        <f t="shared" ca="1" si="19"/>
        <v>0.35364361731186456</v>
      </c>
      <c r="DX55" s="37"/>
      <c r="DY55" s="35">
        <f t="shared" si="39"/>
        <v>0.3958787693221249</v>
      </c>
      <c r="DZ55" s="56"/>
      <c r="EA55" s="56"/>
      <c r="EC55" s="2" t="e" vm="55">
        <v>#VALUE!</v>
      </c>
      <c r="EE55" s="10" cm="1">
        <f t="array" aca="1" ref="EE55" ca="1">_FV(EC55,"Ações em circulação",TRUE)</f>
        <v>93170750</v>
      </c>
      <c r="EF55" s="18">
        <f>VLOOKUP(BP55,Fundamentus!A:U,5,FALSE)</f>
        <v>0.60199999999999998</v>
      </c>
      <c r="EG55" s="2">
        <f t="shared" ca="1" si="20"/>
        <v>1219577259.1362126</v>
      </c>
      <c r="EH55" s="17">
        <v>86346069.946843848</v>
      </c>
      <c r="EI55" s="17">
        <f t="shared" ca="1" si="21"/>
        <v>86346069.946843848</v>
      </c>
      <c r="EK55" s="16">
        <f t="shared" ca="1" si="22"/>
        <v>0</v>
      </c>
      <c r="EL55" s="32" t="str">
        <f>IF(VLOOKUP(BP55,Fundamentus!A:U,3,FALSE)&lt;15,"Bom",IF(VLOOKUP(BP55,Fundamentus!A:U,3,FALSE)&gt;15,"Ruim","n/a"))</f>
        <v>Bom</v>
      </c>
      <c r="EM55" s="28" t="str">
        <f>IF(VLOOKUP(BP55,Fundamentus!A:U,4,FALSE)&lt;1,"Baixo",IF(VLOOKUP(BP55,Fundamentus!A:U,4,FALSE)&lt;1.5,"Moderado",IF(VLOOKUP(BP55,Fundamentus!A:U,4,FALSE)&gt;1.5,"Alto","n/a")))</f>
        <v>Baixo</v>
      </c>
      <c r="EN55" s="17" t="str">
        <f>IF(VLOOKUP(BP55,Fundamentus!A:U,8,FALSE)&lt;0,"Risco elevado",IF(VLOOKUP(BP55,Fundamentus!A:U,8,FALSE)&lt;1,"Saudável",IF(VLOOKUP(BP55,Fundamentus!A:U,8,FALSE)&lt;3,"Estável",IF(VLOOKUP(BP55,Fundamentus!A:U,8,FALSE)&gt;3,"Alerta","n/a"))))</f>
        <v>Saudável</v>
      </c>
      <c r="EO55" s="28" t="str">
        <f t="shared" si="23"/>
        <v>Ruim</v>
      </c>
      <c r="EP55" s="17" t="str">
        <f>IF(VLOOKUP(BP55,Fundamentus!A:U,12,FALSE)&lt;2,"Subvalorizada",IF(VLOOKUP(BP55,Fundamentus!A:U,12,FALSE)&lt;6,"Muita barata",IF(VLOOKUP(BP55,Fundamentus!A:U,12,FALSE)&lt;6,"Barata",IF(VLOOKUP(BP55,Fundamentus!A:U,12,FALSE)&lt;8,"Atrativa",IF(VLOOKUP(BP55,Fundamentus!A:U,12,FALSE)&gt;8,"Supervalorizada","n/a")))))</f>
        <v>Supervalorizada</v>
      </c>
      <c r="ER55" s="17" t="str">
        <f>IF(VLOOKUP(BP55,Fundamentus!A:U,17,FALSE)&lt;0.1,"Fraco retorno",IF(VLOOKUP(BP55,Fundamentus!A:U,17,FALSE)&gt;0.1,"Bom retorno","n/a"))</f>
        <v>Fraco retorno</v>
      </c>
      <c r="ES55" s="17" t="str">
        <f>IF(VLOOKUP(BP55,Fundamentus!A:U,16,FALSE)&lt;0.1,"Ineficiente",IF(VLOOKUP(BP55,Fundamentus!A:U,16,FALSE)&gt;0.1,"Eficiente","n/a"))</f>
        <v>Ineficiente</v>
      </c>
      <c r="ET55" s="33" t="str">
        <f>IF(VLOOKUP(BP55,Fundamentus!A:U,16,FALSE)&lt;0.1,"Oper. Ineficiente",IF(VLOOKUP(BP55,Fundamentus!A:U,16,FALSE)&gt;0.1,"Oper.Eficiente","n/a"))</f>
        <v>Oper. Ineficiente</v>
      </c>
      <c r="EU55" s="34">
        <f>VLOOKUP(BP55,Fundamentus!A:U,14,FALSE)</f>
        <v>7.0800000000000002E-2</v>
      </c>
      <c r="EV55" s="17" t="str">
        <f>IF(VLOOKUP(BP55,Fundamentus!A:U,21,FALSE)&lt;0,"Negativo",IF(VLOOKUP(BP55,Fundamentus!A:U,21,FALSE)&lt;0.05,"Fraco",IF(VLOOKUP(BP55,Fundamentus!A:U,21,FALSE)&lt;0.1,"Bom",IF(VLOOKUP(BP55,Fundamentus!A:U,21,FALSE)&gt;0.1,"Muito bom","n/a"))))</f>
        <v>Negativo</v>
      </c>
      <c r="EX55" s="29" t="str">
        <f>IF(VLOOKUP(BP55,Fundamentus!A:U,15,FALSE)&gt;1,"Bom",IF(VLOOKUP(BP55,Fundamentus!A:U,15,FALSE)&lt;1,"Ruim","n/a"))</f>
        <v>Bom</v>
      </c>
      <c r="EY55" s="17" t="str">
        <f>IF(VLOOKUP(BP55,Fundamentus!A:U,20,FALSE)&lt;0.5,"Baixa",IF(VLOOKUP(BP55,Fundamentus!A:U,20,FALSE)&lt;1,"Moderada",IF(VLOOKUP(BP55,Fundamentus!A:U,20,FALSE)&lt;2,"Alerta",IF(VLOOKUP(BP55,Fundamentus!A:U,20,FALSE)&gt;2,"Alta","n/a"))))</f>
        <v>Moderada</v>
      </c>
    </row>
    <row r="56" spans="1:155" s="2" customFormat="1" ht="11.25" x14ac:dyDescent="0.2">
      <c r="A56" s="4">
        <v>12.27</v>
      </c>
      <c r="B56" s="4">
        <v>11.75</v>
      </c>
      <c r="C56" s="4">
        <v>11.7</v>
      </c>
      <c r="D56" s="4">
        <v>11.8</v>
      </c>
      <c r="E56" s="4">
        <v>11.5</v>
      </c>
      <c r="F56" s="4">
        <v>11.29</v>
      </c>
      <c r="G56" s="4">
        <v>11.19</v>
      </c>
      <c r="H56" s="4">
        <v>11.33</v>
      </c>
      <c r="I56" s="4">
        <v>11.45</v>
      </c>
      <c r="J56" s="4">
        <v>11.64</v>
      </c>
      <c r="K56" s="4">
        <v>11.83</v>
      </c>
      <c r="L56" s="4">
        <v>11.47</v>
      </c>
      <c r="M56" s="4">
        <v>11.33</v>
      </c>
      <c r="N56" s="4">
        <v>11.61</v>
      </c>
      <c r="O56" s="4">
        <v>11.82</v>
      </c>
      <c r="P56" s="4">
        <v>11.61</v>
      </c>
      <c r="Q56" s="4">
        <v>12.01</v>
      </c>
      <c r="R56" s="4">
        <v>11.88</v>
      </c>
      <c r="S56" s="4">
        <v>11.88</v>
      </c>
      <c r="T56" s="4">
        <v>11.82</v>
      </c>
      <c r="U56" s="4">
        <v>11.51</v>
      </c>
      <c r="V56" s="4">
        <v>11.44</v>
      </c>
      <c r="W56" s="4">
        <v>11.47</v>
      </c>
      <c r="X56" s="4">
        <v>11.52</v>
      </c>
      <c r="Y56" s="4">
        <v>11.47</v>
      </c>
      <c r="Z56" s="4">
        <v>11.48</v>
      </c>
      <c r="AA56" s="4">
        <v>11.52</v>
      </c>
      <c r="AB56" s="4">
        <v>11.74</v>
      </c>
      <c r="AC56" s="4">
        <v>11.33</v>
      </c>
      <c r="AD56" s="4">
        <v>11.45</v>
      </c>
      <c r="AE56" s="4">
        <v>11.38</v>
      </c>
      <c r="AF56" s="4">
        <v>11.46</v>
      </c>
      <c r="AG56" s="4">
        <v>11.31</v>
      </c>
      <c r="AH56" s="4">
        <v>10.99</v>
      </c>
      <c r="AI56" s="4">
        <v>11.06</v>
      </c>
      <c r="AJ56" s="4">
        <v>10.9</v>
      </c>
      <c r="AK56" s="4">
        <v>10.97</v>
      </c>
      <c r="AL56" s="4">
        <v>11.02</v>
      </c>
      <c r="AM56" s="4">
        <v>10.77</v>
      </c>
      <c r="AN56" s="4">
        <v>11.28</v>
      </c>
      <c r="AO56" s="4">
        <v>11.08</v>
      </c>
      <c r="AP56" s="4">
        <v>11.11</v>
      </c>
      <c r="AQ56" s="4">
        <v>11</v>
      </c>
      <c r="AR56" s="4">
        <v>10.97</v>
      </c>
      <c r="AS56" s="4">
        <v>11.1</v>
      </c>
      <c r="AT56" s="4">
        <v>11.35</v>
      </c>
      <c r="AU56" s="4">
        <v>11.57</v>
      </c>
      <c r="AV56" s="4">
        <v>11.37</v>
      </c>
      <c r="AW56" s="4">
        <v>11.4</v>
      </c>
      <c r="AX56" s="4">
        <v>11.4</v>
      </c>
      <c r="AY56" s="12">
        <v>11.5</v>
      </c>
      <c r="AZ56" s="12">
        <v>11.94</v>
      </c>
      <c r="BA56" s="12">
        <v>11.96</v>
      </c>
      <c r="BB56" s="15">
        <v>11.93</v>
      </c>
      <c r="BC56" s="52">
        <v>11.84</v>
      </c>
      <c r="BD56" s="52">
        <v>11.85</v>
      </c>
      <c r="BE56" s="52">
        <v>11.81</v>
      </c>
      <c r="BF56" s="52">
        <v>11.5</v>
      </c>
      <c r="BG56" s="67">
        <v>11.36</v>
      </c>
      <c r="BH56" s="52">
        <v>11.48</v>
      </c>
      <c r="BI56" s="52">
        <v>11.54</v>
      </c>
      <c r="BJ56" s="52">
        <v>11.75</v>
      </c>
      <c r="BK56" s="52">
        <v>11.36</v>
      </c>
      <c r="BL56" s="52">
        <v>11.24</v>
      </c>
      <c r="BM56" s="52">
        <v>11.16</v>
      </c>
      <c r="BN56" s="52">
        <v>11.14</v>
      </c>
      <c r="BO56" s="52" cm="1">
        <f t="array" aca="1" ref="BO56" ca="1">_FV(EC56,"Preço")</f>
        <v>11.14</v>
      </c>
      <c r="BP56" s="69" t="s">
        <v>53</v>
      </c>
      <c r="BQ56" s="36" cm="1">
        <f t="array" aca="1" ref="BQ56" ca="1">_FV(EC56,"Média de volume",TRUE)</f>
        <v>1124670</v>
      </c>
      <c r="BR56" s="36">
        <v>97100</v>
      </c>
      <c r="BS56" s="36" cm="1">
        <f t="array" aca="1" ref="BS56" ca="1">_FV(EC56,"Volume")</f>
        <v>97100</v>
      </c>
      <c r="BT56" s="24" cm="1">
        <f t="array" aca="1" ref="BT56" ca="1">_FV(EC56,"Beta")</f>
        <v>0.71450000000000002</v>
      </c>
      <c r="BU56" s="71" cm="1">
        <f t="array" aca="1" ref="BU56" ca="1">_FV(EC56,"Variação (%)",TRUE)</f>
        <v>-4.4679999999999997E-3</v>
      </c>
      <c r="BW56" s="17" cm="1">
        <f t="array" aca="1" ref="BW56" ca="1">_FV(EC56,"Baixo")</f>
        <v>11.14</v>
      </c>
      <c r="BX56" s="17" cm="1">
        <f t="array" aca="1" ref="BX56" ca="1">_FV(EC56,"Alto")</f>
        <v>11.32</v>
      </c>
      <c r="BY56" s="24"/>
      <c r="BZ56" s="63">
        <f ca="1">SQRT(22.5*(BO56/VLOOKUP(BP56,Fundamentus!A:U,3,FALSE))*(BO56/VLOOKUP(BP56,Fundamentus!A:U,4,FALSE)))</f>
        <v>15.953403231014802</v>
      </c>
      <c r="CB56" s="62">
        <f t="shared" ca="1" si="24"/>
        <v>0</v>
      </c>
      <c r="CC56" s="8"/>
      <c r="CD56" s="61">
        <f t="shared" si="25"/>
        <v>10.77</v>
      </c>
      <c r="CE56" s="61">
        <f t="shared" si="26"/>
        <v>12.27</v>
      </c>
      <c r="CF56" s="61">
        <f t="shared" si="27"/>
        <v>11.469090909090909</v>
      </c>
      <c r="CG56" s="14"/>
      <c r="CH56" s="35">
        <f t="shared" si="1"/>
        <v>10.592428776617641</v>
      </c>
      <c r="CI56" s="15">
        <f t="shared" si="28"/>
        <v>11.04000000000002</v>
      </c>
      <c r="CJ56" s="35">
        <f t="shared" si="2"/>
        <v>11.4875712233824</v>
      </c>
      <c r="CL56" s="14"/>
      <c r="CM56" s="17">
        <f t="shared" si="3"/>
        <v>9.0166666666666657</v>
      </c>
      <c r="CN56" s="17">
        <f t="shared" si="4"/>
        <v>9.8933333333333326</v>
      </c>
      <c r="CO56" s="17">
        <f t="shared" si="5"/>
        <v>10.516666666666666</v>
      </c>
      <c r="CP56" s="38">
        <f t="shared" si="29"/>
        <v>11.393333333333333</v>
      </c>
      <c r="CQ56" s="17">
        <f t="shared" si="6"/>
        <v>12.016666666666666</v>
      </c>
      <c r="CR56" s="17">
        <f t="shared" si="7"/>
        <v>12.893333333333333</v>
      </c>
      <c r="CS56" s="17">
        <f t="shared" si="8"/>
        <v>13.516666666666666</v>
      </c>
      <c r="CT56" s="2" cm="1">
        <f t="array" aca="1" ref="CT56" ca="1">MAX(_xlfn._xlws.FILTER(CM56:CS56,CM56:CS56&lt;BO56))</f>
        <v>10.516666666666666</v>
      </c>
      <c r="CU56" s="2" cm="1">
        <f t="array" aca="1" ref="CU56" ca="1">MIN(_xlfn._xlws.FILTER($CM56:$CS56,$CM56:$CS56&gt;BO56))</f>
        <v>11.393333333333333</v>
      </c>
      <c r="CV56" s="16">
        <f t="shared" ca="1" si="80"/>
        <v>8.3359746434231496E-2</v>
      </c>
      <c r="CW56" s="20">
        <f t="shared" ca="1" si="81"/>
        <v>-4.1679873217115748E-2</v>
      </c>
      <c r="CX56" s="20">
        <f t="shared" ca="1" si="82"/>
        <v>-2.7786582144743832E-2</v>
      </c>
      <c r="CY56" s="20">
        <f t="shared" ca="1" si="83"/>
        <v>-1.6671949286846299E-2</v>
      </c>
      <c r="CZ56" s="20">
        <f t="shared" ca="1" si="84"/>
        <v>-9.2621940482479435E-3</v>
      </c>
      <c r="DA56" s="20">
        <f t="shared" ca="1" si="85"/>
        <v>-4.9035144961312649E-3</v>
      </c>
      <c r="DB56" s="20">
        <f t="shared" ca="1" si="86"/>
        <v>-2.5260529222494391E-3</v>
      </c>
      <c r="DC56" s="20">
        <f t="shared" ca="1" si="87"/>
        <v>-1.2824576374497153E-3</v>
      </c>
      <c r="DD56" s="21">
        <f t="shared" ca="1" si="88"/>
        <v>1.2824576374497153E-3</v>
      </c>
      <c r="DE56" s="21">
        <f t="shared" ca="1" si="89"/>
        <v>2.5260529222494391E-3</v>
      </c>
      <c r="DF56" s="21">
        <f t="shared" ca="1" si="90"/>
        <v>4.9035144961312649E-3</v>
      </c>
      <c r="DG56" s="21">
        <f t="shared" ca="1" si="91"/>
        <v>9.2621940482479435E-3</v>
      </c>
      <c r="DH56" s="21">
        <f t="shared" ca="1" si="92"/>
        <v>1.6671949286846299E-2</v>
      </c>
      <c r="DI56" s="21">
        <f t="shared" ca="1" si="93"/>
        <v>2.7786582144743832E-2</v>
      </c>
      <c r="DJ56" s="21">
        <f t="shared" ca="1" si="94"/>
        <v>4.1679873217115748E-2</v>
      </c>
      <c r="DL56" s="16" cm="1">
        <f t="array" aca="1" ref="DL56" ca="1">MAX(_xlfn._xlws.FILTER(CW56:DJ56,CW56:DJ56&lt;BU56))</f>
        <v>-4.9035144961312649E-3</v>
      </c>
      <c r="DM56" s="16" cm="1">
        <f t="array" aca="1" ref="DM56" ca="1">MIN(_xlfn._xlws.FILTER(CW56:DJ56,CW56:DJ56&gt;BU56))</f>
        <v>-2.5260529222494391E-3</v>
      </c>
      <c r="DN56" s="2" cm="1">
        <f t="array" aca="1" ref="DN56" ca="1">_FV(EC56,"Fechamento anterior",TRUE)</f>
        <v>11.19</v>
      </c>
      <c r="DO56" s="28">
        <f t="shared" ca="1" si="15"/>
        <v>0.18306888959119164</v>
      </c>
      <c r="DP56" s="15">
        <f t="shared" ca="1" si="95"/>
        <v>11.13512967278829</v>
      </c>
      <c r="DQ56" s="15">
        <f t="shared" ca="1" si="96"/>
        <v>11.161733467800028</v>
      </c>
      <c r="DR56" s="9"/>
      <c r="DS56" s="9"/>
      <c r="DT56" s="9"/>
      <c r="DU56" s="89">
        <v>4.1665380062786165E-3</v>
      </c>
      <c r="DV56" s="89">
        <f t="shared" ca="1" si="18"/>
        <v>2.3774615738818257E-3</v>
      </c>
      <c r="DW56" s="72">
        <f t="shared" ca="1" si="19"/>
        <v>0.22342812668844403</v>
      </c>
      <c r="DX56" s="37"/>
      <c r="DY56" s="35">
        <f t="shared" si="39"/>
        <v>0.22378561169118968</v>
      </c>
      <c r="DZ56" s="56"/>
      <c r="EA56" s="56"/>
      <c r="EC56" s="2" t="e" vm="56">
        <v>#VALUE!</v>
      </c>
      <c r="EE56" s="10" cm="1">
        <f t="array" aca="1" ref="EE56" ca="1">_FV(EC56,"Ações em circulação",TRUE)</f>
        <v>344498900</v>
      </c>
      <c r="EF56" s="18">
        <f>VLOOKUP(BP56,Fundamentus!A:U,5,FALSE)</f>
        <v>2.9289999999999998</v>
      </c>
      <c r="EG56" s="2">
        <f t="shared" ca="1" si="20"/>
        <v>1310248462.2738137</v>
      </c>
      <c r="EH56" s="17">
        <v>556200472.2352339</v>
      </c>
      <c r="EI56" s="17">
        <f t="shared" ca="1" si="21"/>
        <v>556200472.2352339</v>
      </c>
      <c r="EK56" s="16">
        <f t="shared" ca="1" si="22"/>
        <v>0</v>
      </c>
      <c r="EL56" s="32" t="str">
        <f>IF(VLOOKUP(BP56,Fundamentus!A:U,3,FALSE)&lt;15,"Bom",IF(VLOOKUP(BP56,Fundamentus!A:U,3,FALSE)&gt;15,"Ruim","n/a"))</f>
        <v>Bom</v>
      </c>
      <c r="EM56" s="28" t="str">
        <f>IF(VLOOKUP(BP56,Fundamentus!A:U,4,FALSE)&lt;1,"Baixo",IF(VLOOKUP(BP56,Fundamentus!A:U,4,FALSE)&lt;1.5,"Moderado",IF(VLOOKUP(BP56,Fundamentus!A:U,4,FALSE)&gt;1.5,"Alto","n/a")))</f>
        <v>Alto</v>
      </c>
      <c r="EN56" s="17" t="str">
        <f>IF(VLOOKUP(BP56,Fundamentus!A:U,8,FALSE)&lt;0,"Risco elevado",IF(VLOOKUP(BP56,Fundamentus!A:U,8,FALSE)&lt;1,"Saudável",IF(VLOOKUP(BP56,Fundamentus!A:U,8,FALSE)&lt;3,"Estável",IF(VLOOKUP(BP56,Fundamentus!A:U,8,FALSE)&gt;3,"Alerta","n/a"))))</f>
        <v>Alerta</v>
      </c>
      <c r="EO56" s="28" t="str">
        <f t="shared" si="23"/>
        <v>Bom</v>
      </c>
      <c r="EP56" s="17" t="str">
        <f>IF(VLOOKUP(BP56,Fundamentus!A:U,12,FALSE)&lt;2,"Subvalorizada",IF(VLOOKUP(BP56,Fundamentus!A:U,12,FALSE)&lt;6,"Muita barata",IF(VLOOKUP(BP56,Fundamentus!A:U,12,FALSE)&lt;6,"Barata",IF(VLOOKUP(BP56,Fundamentus!A:U,12,FALSE)&lt;8,"Atrativa",IF(VLOOKUP(BP56,Fundamentus!A:U,12,FALSE)&gt;8,"Supervalorizada","n/a")))))</f>
        <v>Supervalorizada</v>
      </c>
      <c r="ER56" s="17" t="str">
        <f>IF(VLOOKUP(BP56,Fundamentus!A:U,17,FALSE)&lt;0.1,"Fraco retorno",IF(VLOOKUP(BP56,Fundamentus!A:U,17,FALSE)&gt;0.1,"Bom retorno","n/a"))</f>
        <v>Bom retorno</v>
      </c>
      <c r="ES56" s="17" t="str">
        <f>IF(VLOOKUP(BP56,Fundamentus!A:U,16,FALSE)&lt;0.1,"Ineficiente",IF(VLOOKUP(BP56,Fundamentus!A:U,16,FALSE)&gt;0.1,"Eficiente","n/a"))</f>
        <v>Eficiente</v>
      </c>
      <c r="ET56" s="33" t="str">
        <f>IF(VLOOKUP(BP56,Fundamentus!A:U,16,FALSE)&lt;0.1,"Oper. Ineficiente",IF(VLOOKUP(BP56,Fundamentus!A:U,16,FALSE)&gt;0.1,"Oper.Eficiente","n/a"))</f>
        <v>Oper.Eficiente</v>
      </c>
      <c r="EU56" s="34">
        <f>VLOOKUP(BP56,Fundamentus!A:U,14,FALSE)</f>
        <v>0.42449999999999999</v>
      </c>
      <c r="EV56" s="17" t="str">
        <f>IF(VLOOKUP(BP56,Fundamentus!A:U,21,FALSE)&lt;0,"Negativo",IF(VLOOKUP(BP56,Fundamentus!A:U,21,FALSE)&lt;0.05,"Fraco",IF(VLOOKUP(BP56,Fundamentus!A:U,21,FALSE)&lt;0.1,"Bom",IF(VLOOKUP(BP56,Fundamentus!A:U,21,FALSE)&gt;0.1,"Muito bom","n/a"))))</f>
        <v>Fraco</v>
      </c>
      <c r="EX56" s="29" t="str">
        <f>IF(VLOOKUP(BP56,Fundamentus!A:U,15,FALSE)&gt;1,"Bom",IF(VLOOKUP(BP56,Fundamentus!A:U,15,FALSE)&lt;1,"Ruim","n/a"))</f>
        <v>Bom</v>
      </c>
      <c r="EY56" s="17" t="str">
        <f>IF(VLOOKUP(BP56,Fundamentus!A:U,20,FALSE)&lt;0.5,"Baixa",IF(VLOOKUP(BP56,Fundamentus!A:U,20,FALSE)&lt;1,"Moderada",IF(VLOOKUP(BP56,Fundamentus!A:U,20,FALSE)&lt;2,"Alerta",IF(VLOOKUP(BP56,Fundamentus!A:U,20,FALSE)&gt;2,"Alta","n/a"))))</f>
        <v>Alerta</v>
      </c>
    </row>
    <row r="57" spans="1:155" s="2" customFormat="1" ht="11.25" x14ac:dyDescent="0.2">
      <c r="A57" s="4">
        <v>21</v>
      </c>
      <c r="B57" s="4">
        <v>20.46</v>
      </c>
      <c r="C57" s="4">
        <v>20.74</v>
      </c>
      <c r="D57" s="4">
        <v>20.32</v>
      </c>
      <c r="E57" s="4">
        <v>19.649999999999999</v>
      </c>
      <c r="F57" s="4">
        <v>19.8</v>
      </c>
      <c r="G57" s="4">
        <v>19.77</v>
      </c>
      <c r="H57" s="4">
        <v>20.05</v>
      </c>
      <c r="I57" s="4">
        <v>20.6</v>
      </c>
      <c r="J57" s="4">
        <v>21.5</v>
      </c>
      <c r="K57" s="4">
        <v>22.78</v>
      </c>
      <c r="L57" s="4">
        <v>22.56</v>
      </c>
      <c r="M57" s="4">
        <v>22.58</v>
      </c>
      <c r="N57" s="4">
        <v>23.41</v>
      </c>
      <c r="O57" s="4">
        <v>23.58</v>
      </c>
      <c r="P57" s="4">
        <v>23.2</v>
      </c>
      <c r="Q57" s="4">
        <v>23.61</v>
      </c>
      <c r="R57" s="4">
        <v>21.85</v>
      </c>
      <c r="S57" s="4">
        <v>21.6</v>
      </c>
      <c r="T57" s="4">
        <v>21.16</v>
      </c>
      <c r="U57" s="4">
        <v>19.920000000000002</v>
      </c>
      <c r="V57" s="4">
        <v>20.07</v>
      </c>
      <c r="W57" s="4">
        <v>19.95</v>
      </c>
      <c r="X57" s="4">
        <v>19.13</v>
      </c>
      <c r="Y57" s="4">
        <v>18.760000000000002</v>
      </c>
      <c r="Z57" s="4">
        <v>19.22</v>
      </c>
      <c r="AA57" s="4">
        <v>19.45</v>
      </c>
      <c r="AB57" s="4">
        <v>19.45</v>
      </c>
      <c r="AC57" s="4">
        <v>20.11</v>
      </c>
      <c r="AD57" s="4">
        <v>20.16</v>
      </c>
      <c r="AE57" s="4">
        <v>19.45</v>
      </c>
      <c r="AF57" s="4">
        <v>19.2</v>
      </c>
      <c r="AG57" s="4">
        <v>19.010000000000002</v>
      </c>
      <c r="AH57" s="4">
        <v>18.190000000000001</v>
      </c>
      <c r="AI57" s="4">
        <v>17.850000000000001</v>
      </c>
      <c r="AJ57" s="4">
        <v>17.59</v>
      </c>
      <c r="AK57" s="4">
        <v>17.21</v>
      </c>
      <c r="AL57" s="4">
        <v>17.07</v>
      </c>
      <c r="AM57" s="4">
        <v>16.7</v>
      </c>
      <c r="AN57" s="4">
        <v>18.399999999999999</v>
      </c>
      <c r="AO57" s="4">
        <v>18.45</v>
      </c>
      <c r="AP57" s="4">
        <v>19.73</v>
      </c>
      <c r="AQ57" s="4">
        <v>18.07</v>
      </c>
      <c r="AR57" s="4">
        <v>16.93</v>
      </c>
      <c r="AS57" s="4">
        <v>17.87</v>
      </c>
      <c r="AT57" s="4">
        <v>18</v>
      </c>
      <c r="AU57" s="4">
        <v>17.995000000000001</v>
      </c>
      <c r="AV57" s="4">
        <v>16.98</v>
      </c>
      <c r="AW57" s="4">
        <v>17.07</v>
      </c>
      <c r="AX57" s="4">
        <v>17.77</v>
      </c>
      <c r="AY57" s="12">
        <v>18.88</v>
      </c>
      <c r="AZ57" s="12">
        <v>19.68</v>
      </c>
      <c r="BA57" s="12">
        <v>19.399999999999999</v>
      </c>
      <c r="BB57" s="15">
        <v>19.21</v>
      </c>
      <c r="BC57" s="52">
        <v>17.89</v>
      </c>
      <c r="BD57" s="52">
        <v>18.059999999999999</v>
      </c>
      <c r="BE57" s="52">
        <v>18.82</v>
      </c>
      <c r="BF57" s="52">
        <v>19.079999999999998</v>
      </c>
      <c r="BG57" s="67">
        <v>19.13</v>
      </c>
      <c r="BH57" s="52">
        <v>17.97</v>
      </c>
      <c r="BI57" s="52">
        <v>17.96</v>
      </c>
      <c r="BJ57" s="52">
        <v>18.579999999999998</v>
      </c>
      <c r="BK57" s="52">
        <v>17.12</v>
      </c>
      <c r="BL57" s="52">
        <v>16.579999999999998</v>
      </c>
      <c r="BM57" s="52">
        <v>16.68</v>
      </c>
      <c r="BN57" s="52">
        <v>16.329999999999998</v>
      </c>
      <c r="BO57" s="52" cm="1">
        <f t="array" aca="1" ref="BO57" ca="1">_FV(EC57,"Preço")</f>
        <v>16.329999999999998</v>
      </c>
      <c r="BP57" s="69" t="s">
        <v>54</v>
      </c>
      <c r="BQ57" s="36" cm="1">
        <f t="array" aca="1" ref="BQ57" ca="1">_FV(EC57,"Média de volume",TRUE)</f>
        <v>9284940</v>
      </c>
      <c r="BR57" s="36">
        <v>7926000</v>
      </c>
      <c r="BS57" s="36" cm="1">
        <f t="array" aca="1" ref="BS57" ca="1">_FV(EC57,"Volume")</f>
        <v>7926000</v>
      </c>
      <c r="BT57" s="24" cm="1">
        <f t="array" aca="1" ref="BT57" ca="1">_FV(EC57,"Beta")</f>
        <v>0.80779999999999996</v>
      </c>
      <c r="BU57" s="71" cm="1">
        <f t="array" aca="1" ref="BU57" ca="1">_FV(EC57,"Variação (%)",TRUE)</f>
        <v>-1.2696000000000001E-2</v>
      </c>
      <c r="BW57" s="17" cm="1">
        <f t="array" aca="1" ref="BW57" ca="1">_FV(EC57,"Baixo")</f>
        <v>16.22</v>
      </c>
      <c r="BX57" s="17" cm="1">
        <f t="array" aca="1" ref="BX57" ca="1">_FV(EC57,"Alto")</f>
        <v>16.920000000000002</v>
      </c>
      <c r="BY57" s="24"/>
      <c r="BZ57" s="63" t="e">
        <f ca="1">SQRT(22.5*(BO57/VLOOKUP(BP57,Fundamentus!A:U,3,FALSE))*(BO57/VLOOKUP(BP57,Fundamentus!A:U,4,FALSE)))</f>
        <v>#NUM!</v>
      </c>
      <c r="CB57" s="62">
        <f t="shared" ca="1" si="24"/>
        <v>0</v>
      </c>
      <c r="CC57" s="8"/>
      <c r="CD57" s="61">
        <f t="shared" si="25"/>
        <v>16.329999999999998</v>
      </c>
      <c r="CE57" s="61">
        <f t="shared" si="26"/>
        <v>23.61</v>
      </c>
      <c r="CF57" s="61">
        <f t="shared" si="27"/>
        <v>19.35371212121213</v>
      </c>
      <c r="CG57" s="14"/>
      <c r="CH57" s="35">
        <f t="shared" si="1"/>
        <v>14.504589149158512</v>
      </c>
      <c r="CI57" s="15">
        <f t="shared" si="28"/>
        <v>16.110000000000127</v>
      </c>
      <c r="CJ57" s="35">
        <f t="shared" si="2"/>
        <v>17.715410850841742</v>
      </c>
      <c r="CL57" s="14"/>
      <c r="CM57" s="17">
        <f t="shared" si="3"/>
        <v>6.6233333333333277</v>
      </c>
      <c r="CN57" s="17">
        <f t="shared" si="4"/>
        <v>11.476666666666663</v>
      </c>
      <c r="CO57" s="17">
        <f t="shared" si="5"/>
        <v>13.903333333333329</v>
      </c>
      <c r="CP57" s="38">
        <f t="shared" si="29"/>
        <v>18.756666666666664</v>
      </c>
      <c r="CQ57" s="17">
        <f t="shared" si="6"/>
        <v>21.18333333333333</v>
      </c>
      <c r="CR57" s="17">
        <f t="shared" si="7"/>
        <v>26.036666666666665</v>
      </c>
      <c r="CS57" s="17">
        <f t="shared" si="8"/>
        <v>28.463333333333331</v>
      </c>
      <c r="CT57" s="2" cm="1">
        <f t="array" aca="1" ref="CT57" ca="1">MAX(_xlfn._xlws.FILTER(CM57:CS57,CM57:CS57&lt;BO57))</f>
        <v>13.903333333333329</v>
      </c>
      <c r="CU57" s="2" cm="1">
        <f t="array" aca="1" ref="CU57" ca="1">MIN(_xlfn._xlws.FILTER($CM57:$CS57,$CM57:$CS57&gt;BO57))</f>
        <v>18.756666666666664</v>
      </c>
      <c r="CV57" s="16">
        <f t="shared" ca="1" si="80"/>
        <v>0.34907695996164012</v>
      </c>
      <c r="CW57" s="20">
        <f t="shared" ca="1" si="81"/>
        <v>-0.17453847998082006</v>
      </c>
      <c r="CX57" s="20">
        <f t="shared" ca="1" si="82"/>
        <v>-0.11635898665388004</v>
      </c>
      <c r="CY57" s="20">
        <f t="shared" ca="1" si="83"/>
        <v>-6.981539199232803E-2</v>
      </c>
      <c r="CZ57" s="20">
        <f t="shared" ca="1" si="84"/>
        <v>-3.8786328884626679E-2</v>
      </c>
      <c r="DA57" s="20">
        <f t="shared" ca="1" si="85"/>
        <v>-2.0533938821272947E-2</v>
      </c>
      <c r="DB57" s="20">
        <f t="shared" ca="1" si="86"/>
        <v>-1.0578089695807277E-2</v>
      </c>
      <c r="DC57" s="20">
        <f t="shared" ca="1" si="87"/>
        <v>-5.3704147686406169E-3</v>
      </c>
      <c r="DD57" s="21">
        <f t="shared" ca="1" si="88"/>
        <v>5.3704147686406169E-3</v>
      </c>
      <c r="DE57" s="21">
        <f t="shared" ca="1" si="89"/>
        <v>1.0578089695807277E-2</v>
      </c>
      <c r="DF57" s="21">
        <f t="shared" ca="1" si="90"/>
        <v>2.0533938821272947E-2</v>
      </c>
      <c r="DG57" s="21">
        <f t="shared" ca="1" si="91"/>
        <v>3.8786328884626679E-2</v>
      </c>
      <c r="DH57" s="21">
        <f t="shared" ca="1" si="92"/>
        <v>6.981539199232803E-2</v>
      </c>
      <c r="DI57" s="21">
        <f t="shared" ca="1" si="93"/>
        <v>0.11635898665388004</v>
      </c>
      <c r="DJ57" s="21">
        <f t="shared" ca="1" si="94"/>
        <v>0.17453847998082006</v>
      </c>
      <c r="DL57" s="16" cm="1">
        <f t="array" aca="1" ref="DL57" ca="1">MAX(_xlfn._xlws.FILTER(CW57:DJ57,CW57:DJ57&lt;BU57))</f>
        <v>-2.0533938821272947E-2</v>
      </c>
      <c r="DM57" s="16" cm="1">
        <f t="array" aca="1" ref="DM57" ca="1">MIN(_xlfn._xlws.FILTER(CW57:DJ57,CW57:DJ57&gt;BU57))</f>
        <v>-1.0578089695807277E-2</v>
      </c>
      <c r="DN57" s="2" cm="1">
        <f t="array" aca="1" ref="DN57" ca="1">_FV(EC57,"Fechamento anterior",TRUE)</f>
        <v>16.54</v>
      </c>
      <c r="DO57" s="28">
        <f t="shared" ca="1" si="15"/>
        <v>0.7872201931796915</v>
      </c>
      <c r="DP57" s="15">
        <f t="shared" ca="1" si="95"/>
        <v>16.200368651896145</v>
      </c>
      <c r="DQ57" s="15">
        <f t="shared" ca="1" si="96"/>
        <v>16.365038396431348</v>
      </c>
      <c r="DR57" s="9"/>
      <c r="DS57" s="9"/>
      <c r="DT57" s="9"/>
      <c r="DU57" s="89">
        <v>1.0129135673504677E-2</v>
      </c>
      <c r="DV57" s="89">
        <f t="shared" ca="1" si="18"/>
        <v>9.9558491254656701E-3</v>
      </c>
      <c r="DW57" s="72">
        <f t="shared" ca="1" si="19"/>
        <v>0.13703657221734794</v>
      </c>
      <c r="DX57" s="37"/>
      <c r="DY57" s="35">
        <f t="shared" si="39"/>
        <v>0.80270542542080769</v>
      </c>
      <c r="DZ57" s="56"/>
      <c r="EA57" s="56"/>
      <c r="EC57" s="2" t="e" vm="57">
        <v>#VALUE!</v>
      </c>
      <c r="EE57" s="10" cm="1">
        <f t="array" aca="1" ref="EE57" ca="1">_FV(EC57,"Ações em circulação",TRUE)</f>
        <v>1854869000</v>
      </c>
      <c r="EF57" s="18">
        <f>VLOOKUP(BP57,Fundamentus!A:U,5,FALSE)</f>
        <v>2.3039999999999998</v>
      </c>
      <c r="EG57" s="2">
        <f t="shared" ca="1" si="20"/>
        <v>13146706063.368055</v>
      </c>
      <c r="EH57" s="17">
        <v>-1351481383.3142362</v>
      </c>
      <c r="EI57" s="17">
        <f t="shared" ca="1" si="21"/>
        <v>-1351481383.3142362</v>
      </c>
      <c r="EK57" s="16">
        <f t="shared" ca="1" si="22"/>
        <v>0</v>
      </c>
      <c r="EL57" s="32" t="str">
        <f>IF(VLOOKUP(BP57,Fundamentus!A:U,3,FALSE)&lt;15,"Bom",IF(VLOOKUP(BP57,Fundamentus!A:U,3,FALSE)&gt;15,"Ruim","n/a"))</f>
        <v>Bom</v>
      </c>
      <c r="EM57" s="28" t="str">
        <f>IF(VLOOKUP(BP57,Fundamentus!A:U,4,FALSE)&lt;1,"Baixo",IF(VLOOKUP(BP57,Fundamentus!A:U,4,FALSE)&lt;1.5,"Moderado",IF(VLOOKUP(BP57,Fundamentus!A:U,4,FALSE)&gt;1.5,"Alto","n/a")))</f>
        <v>Alto</v>
      </c>
      <c r="EN57" s="17" t="str">
        <f>IF(VLOOKUP(BP57,Fundamentus!A:U,8,FALSE)&lt;0,"Risco elevado",IF(VLOOKUP(BP57,Fundamentus!A:U,8,FALSE)&lt;1,"Saudável",IF(VLOOKUP(BP57,Fundamentus!A:U,8,FALSE)&lt;3,"Estável",IF(VLOOKUP(BP57,Fundamentus!A:U,8,FALSE)&gt;3,"Alerta","n/a"))))</f>
        <v>Alerta</v>
      </c>
      <c r="EO57" s="28" t="str">
        <f t="shared" si="23"/>
        <v>Bom</v>
      </c>
      <c r="EP57" s="17" t="str">
        <f>IF(VLOOKUP(BP57,Fundamentus!A:U,12,FALSE)&lt;2,"Subvalorizada",IF(VLOOKUP(BP57,Fundamentus!A:U,12,FALSE)&lt;6,"Muita barata",IF(VLOOKUP(BP57,Fundamentus!A:U,12,FALSE)&lt;6,"Barata",IF(VLOOKUP(BP57,Fundamentus!A:U,12,FALSE)&lt;8,"Atrativa",IF(VLOOKUP(BP57,Fundamentus!A:U,12,FALSE)&gt;8,"Supervalorizada","n/a")))))</f>
        <v>Muita barata</v>
      </c>
      <c r="ER57" s="17" t="str">
        <f>IF(VLOOKUP(BP57,Fundamentus!A:U,17,FALSE)&lt;0.1,"Fraco retorno",IF(VLOOKUP(BP57,Fundamentus!A:U,17,FALSE)&gt;0.1,"Bom retorno","n/a"))</f>
        <v>Fraco retorno</v>
      </c>
      <c r="ES57" s="17" t="str">
        <f>IF(VLOOKUP(BP57,Fundamentus!A:U,16,FALSE)&lt;0.1,"Ineficiente",IF(VLOOKUP(BP57,Fundamentus!A:U,16,FALSE)&gt;0.1,"Eficiente","n/a"))</f>
        <v>Eficiente</v>
      </c>
      <c r="ET57" s="33" t="str">
        <f>IF(VLOOKUP(BP57,Fundamentus!A:U,16,FALSE)&lt;0.1,"Oper. Ineficiente",IF(VLOOKUP(BP57,Fundamentus!A:U,16,FALSE)&gt;0.1,"Oper.Eficiente","n/a"))</f>
        <v>Oper.Eficiente</v>
      </c>
      <c r="EU57" s="34">
        <f>VLOOKUP(BP57,Fundamentus!A:U,14,FALSE)</f>
        <v>-0.1028</v>
      </c>
      <c r="EV57" s="17" t="str">
        <f>IF(VLOOKUP(BP57,Fundamentus!A:U,21,FALSE)&lt;0,"Negativo",IF(VLOOKUP(BP57,Fundamentus!A:U,21,FALSE)&lt;0.05,"Fraco",IF(VLOOKUP(BP57,Fundamentus!A:U,21,FALSE)&lt;0.1,"Bom",IF(VLOOKUP(BP57,Fundamentus!A:U,21,FALSE)&gt;0.1,"Muito bom","n/a"))))</f>
        <v>Muito bom</v>
      </c>
      <c r="EX57" s="29" t="str">
        <f>IF(VLOOKUP(BP57,Fundamentus!A:U,15,FALSE)&gt;1,"Bom",IF(VLOOKUP(BP57,Fundamentus!A:U,15,FALSE)&lt;1,"Ruim","n/a"))</f>
        <v>Bom</v>
      </c>
      <c r="EY57" s="17" t="str">
        <f>IF(VLOOKUP(BP57,Fundamentus!A:U,20,FALSE)&lt;0.5,"Baixa",IF(VLOOKUP(BP57,Fundamentus!A:U,20,FALSE)&lt;1,"Moderada",IF(VLOOKUP(BP57,Fundamentus!A:U,20,FALSE)&lt;2,"Alerta",IF(VLOOKUP(BP57,Fundamentus!A:U,20,FALSE)&gt;2,"Alta","n/a"))))</f>
        <v>Alerta</v>
      </c>
    </row>
    <row r="58" spans="1:155" s="2" customFormat="1" ht="11.25" x14ac:dyDescent="0.2">
      <c r="A58" s="4">
        <v>21.81</v>
      </c>
      <c r="B58" s="4">
        <v>21.32</v>
      </c>
      <c r="C58" s="4">
        <v>20.62</v>
      </c>
      <c r="D58" s="4">
        <v>19.559999999999999</v>
      </c>
      <c r="E58" s="4">
        <v>19.11</v>
      </c>
      <c r="F58" s="4">
        <v>19.57</v>
      </c>
      <c r="G58" s="4">
        <v>19.04</v>
      </c>
      <c r="H58" s="4">
        <v>18.98</v>
      </c>
      <c r="I58" s="4">
        <v>18.82</v>
      </c>
      <c r="J58" s="4">
        <v>19.989999999999998</v>
      </c>
      <c r="K58" s="4">
        <v>20.28</v>
      </c>
      <c r="L58" s="4">
        <v>19.989999999999998</v>
      </c>
      <c r="M58" s="4">
        <v>19.66</v>
      </c>
      <c r="N58" s="4">
        <v>19.96</v>
      </c>
      <c r="O58" s="4">
        <v>21.77</v>
      </c>
      <c r="P58" s="4">
        <v>21.32</v>
      </c>
      <c r="Q58" s="4">
        <v>22.57</v>
      </c>
      <c r="R58" s="4">
        <v>21.82</v>
      </c>
      <c r="S58" s="4">
        <v>21.55</v>
      </c>
      <c r="T58" s="4">
        <v>22.28</v>
      </c>
      <c r="U58" s="4">
        <v>20.73</v>
      </c>
      <c r="V58" s="4">
        <v>20.7</v>
      </c>
      <c r="W58" s="4">
        <v>21.24</v>
      </c>
      <c r="X58" s="4">
        <v>21.4</v>
      </c>
      <c r="Y58" s="4">
        <v>21.2</v>
      </c>
      <c r="Z58" s="4">
        <v>21.15</v>
      </c>
      <c r="AA58" s="4">
        <v>21.3</v>
      </c>
      <c r="AB58" s="4">
        <v>21.57</v>
      </c>
      <c r="AC58" s="4">
        <v>21.2</v>
      </c>
      <c r="AD58" s="4">
        <v>21.09</v>
      </c>
      <c r="AE58" s="4">
        <v>18.399999999999999</v>
      </c>
      <c r="AF58" s="4">
        <v>18.54</v>
      </c>
      <c r="AG58" s="4">
        <v>18.05</v>
      </c>
      <c r="AH58" s="4">
        <v>17.32</v>
      </c>
      <c r="AI58" s="4">
        <v>17.12</v>
      </c>
      <c r="AJ58" s="4">
        <v>16.43</v>
      </c>
      <c r="AK58" s="4">
        <v>16.510000000000002</v>
      </c>
      <c r="AL58" s="4">
        <v>17.87</v>
      </c>
      <c r="AM58" s="4">
        <v>18.7</v>
      </c>
      <c r="AN58" s="4">
        <v>20.43</v>
      </c>
      <c r="AO58" s="4">
        <v>20.48</v>
      </c>
      <c r="AP58" s="4">
        <v>21.83</v>
      </c>
      <c r="AQ58" s="4">
        <v>22.46</v>
      </c>
      <c r="AR58" s="4">
        <v>20.75</v>
      </c>
      <c r="AS58" s="4">
        <v>21.75</v>
      </c>
      <c r="AT58" s="4">
        <v>23.02</v>
      </c>
      <c r="AU58" s="4">
        <v>23.844999999999999</v>
      </c>
      <c r="AV58" s="4">
        <v>24.3</v>
      </c>
      <c r="AW58" s="4">
        <v>24.42</v>
      </c>
      <c r="AX58" s="4">
        <v>24.92</v>
      </c>
      <c r="AY58" s="12">
        <v>25.64</v>
      </c>
      <c r="AZ58" s="12">
        <v>25.53</v>
      </c>
      <c r="BA58" s="12">
        <v>24.79</v>
      </c>
      <c r="BB58" s="15">
        <v>26</v>
      </c>
      <c r="BC58" s="52">
        <v>25.46</v>
      </c>
      <c r="BD58" s="52">
        <v>24.97</v>
      </c>
      <c r="BE58" s="52">
        <v>24.97</v>
      </c>
      <c r="BF58" s="52">
        <v>25.2</v>
      </c>
      <c r="BG58" s="67">
        <v>24.4</v>
      </c>
      <c r="BH58" s="52">
        <v>25.26</v>
      </c>
      <c r="BI58" s="52">
        <v>25.62</v>
      </c>
      <c r="BJ58" s="52">
        <v>26.01</v>
      </c>
      <c r="BK58" s="52">
        <v>25.6</v>
      </c>
      <c r="BL58" s="52">
        <v>26.58</v>
      </c>
      <c r="BM58" s="52">
        <v>25.27</v>
      </c>
      <c r="BN58" s="52">
        <v>24.51</v>
      </c>
      <c r="BO58" s="52" cm="1">
        <f t="array" aca="1" ref="BO58" ca="1">_FV(EC58,"Preço")</f>
        <v>24.51</v>
      </c>
      <c r="BP58" s="69" t="s">
        <v>55</v>
      </c>
      <c r="BQ58" s="36" cm="1">
        <f t="array" aca="1" ref="BQ58" ca="1">_FV(EC58,"Média de volume",TRUE)</f>
        <v>5106260</v>
      </c>
      <c r="BR58" s="36">
        <v>5964600</v>
      </c>
      <c r="BS58" s="36" cm="1">
        <f t="array" aca="1" ref="BS58" ca="1">_FV(EC58,"Volume")</f>
        <v>5964600</v>
      </c>
      <c r="BT58" s="24" cm="1">
        <f t="array" aca="1" ref="BT58" ca="1">_FV(EC58,"Beta")</f>
        <v>1.6395</v>
      </c>
      <c r="BU58" s="71" cm="1">
        <f t="array" aca="1" ref="BU58" ca="1">_FV(EC58,"Variação (%)",TRUE)</f>
        <v>-4.0779999999999999E-4</v>
      </c>
      <c r="BW58" s="17" cm="1">
        <f t="array" aca="1" ref="BW58" ca="1">_FV(EC58,"Baixo")</f>
        <v>24.42</v>
      </c>
      <c r="BX58" s="17" cm="1">
        <f t="array" aca="1" ref="BX58" ca="1">_FV(EC58,"Alto")</f>
        <v>25.21</v>
      </c>
      <c r="BY58" s="24"/>
      <c r="BZ58" s="63">
        <f ca="1">SQRT(22.5*(BO58/VLOOKUP(BP58,Fundamentus!A:U,3,FALSE))*(BO58/VLOOKUP(BP58,Fundamentus!A:U,4,FALSE)))</f>
        <v>46.548790833092063</v>
      </c>
      <c r="CB58" s="62">
        <f t="shared" ca="1" si="24"/>
        <v>0</v>
      </c>
      <c r="CC58" s="8"/>
      <c r="CD58" s="61">
        <f t="shared" si="25"/>
        <v>16.43</v>
      </c>
      <c r="CE58" s="61">
        <f t="shared" si="26"/>
        <v>26.58</v>
      </c>
      <c r="CF58" s="61">
        <f t="shared" si="27"/>
        <v>21.735681818181817</v>
      </c>
      <c r="CG58" s="14"/>
      <c r="CH58" s="35">
        <f t="shared" si="1"/>
        <v>22.952069276668595</v>
      </c>
      <c r="CI58" s="15">
        <f t="shared" si="28"/>
        <v>24.3449999999998</v>
      </c>
      <c r="CJ58" s="35">
        <f t="shared" si="2"/>
        <v>25.737930723331004</v>
      </c>
      <c r="CL58" s="14"/>
      <c r="CM58" s="17">
        <f t="shared" si="3"/>
        <v>8.2833333333333314</v>
      </c>
      <c r="CN58" s="17">
        <f t="shared" si="4"/>
        <v>12.356666666666666</v>
      </c>
      <c r="CO58" s="17">
        <f t="shared" si="5"/>
        <v>18.43333333333333</v>
      </c>
      <c r="CP58" s="38">
        <f t="shared" si="29"/>
        <v>22.506666666666664</v>
      </c>
      <c r="CQ58" s="17">
        <f t="shared" si="6"/>
        <v>28.583333333333329</v>
      </c>
      <c r="CR58" s="17">
        <f t="shared" si="7"/>
        <v>32.656666666666666</v>
      </c>
      <c r="CS58" s="17">
        <f t="shared" si="8"/>
        <v>38.733333333333327</v>
      </c>
      <c r="CT58" s="2" cm="1">
        <f t="array" aca="1" ref="CT58" ca="1">MAX(_xlfn._xlws.FILTER(CM58:CS58,CM58:CS58&lt;BO58))</f>
        <v>22.506666666666664</v>
      </c>
      <c r="CU58" s="2" cm="1">
        <f t="array" aca="1" ref="CU58" ca="1">MIN(_xlfn._xlws.FILTER($CM58:$CS58,$CM58:$CS58&gt;BO58))</f>
        <v>28.583333333333329</v>
      </c>
      <c r="CV58" s="16">
        <f t="shared" ca="1" si="80"/>
        <v>0.26999407582938373</v>
      </c>
      <c r="CW58" s="20">
        <f t="shared" ca="1" si="81"/>
        <v>-0.13499703791469186</v>
      </c>
      <c r="CX58" s="20">
        <f t="shared" ca="1" si="82"/>
        <v>-8.9998025276461238E-2</v>
      </c>
      <c r="CY58" s="20">
        <f t="shared" ca="1" si="83"/>
        <v>-5.3998815165876748E-2</v>
      </c>
      <c r="CZ58" s="20">
        <f t="shared" ca="1" si="84"/>
        <v>-2.9999341758820415E-2</v>
      </c>
      <c r="DA58" s="20">
        <f t="shared" ca="1" si="85"/>
        <v>-1.5882004460551984E-2</v>
      </c>
      <c r="DB58" s="20">
        <f t="shared" ca="1" si="86"/>
        <v>-8.1816386614964771E-3</v>
      </c>
      <c r="DC58" s="20">
        <f t="shared" ca="1" si="87"/>
        <v>-4.1537550127597493E-3</v>
      </c>
      <c r="DD58" s="21">
        <f t="shared" ca="1" si="88"/>
        <v>4.1537550127597493E-3</v>
      </c>
      <c r="DE58" s="21">
        <f t="shared" ca="1" si="89"/>
        <v>8.1816386614964771E-3</v>
      </c>
      <c r="DF58" s="21">
        <f t="shared" ca="1" si="90"/>
        <v>1.5882004460551984E-2</v>
      </c>
      <c r="DG58" s="21">
        <f t="shared" ca="1" si="91"/>
        <v>2.9999341758820415E-2</v>
      </c>
      <c r="DH58" s="21">
        <f t="shared" ca="1" si="92"/>
        <v>5.3998815165876748E-2</v>
      </c>
      <c r="DI58" s="21">
        <f t="shared" ca="1" si="93"/>
        <v>8.9998025276461238E-2</v>
      </c>
      <c r="DJ58" s="21">
        <f t="shared" ca="1" si="94"/>
        <v>0.13499703791469186</v>
      </c>
      <c r="DL58" s="16" cm="1">
        <f t="array" aca="1" ref="DL58" ca="1">MAX(_xlfn._xlws.FILTER(CW58:DJ58,CW58:DJ58&lt;BU58))</f>
        <v>-4.1537550127597493E-3</v>
      </c>
      <c r="DM58" s="16" cm="1">
        <f t="array" aca="1" ref="DM58" ca="1">MIN(_xlfn._xlws.FILTER(CW58:DJ58,CW58:DJ58&gt;BU58))</f>
        <v>4.1537550127597493E-3</v>
      </c>
      <c r="DN58" s="2" cm="1">
        <f t="array" aca="1" ref="DN58" ca="1">_FV(EC58,"Fechamento anterior",TRUE)</f>
        <v>24.52</v>
      </c>
      <c r="DO58" s="28">
        <f t="shared" ca="1" si="15"/>
        <v>0.4509082334749383</v>
      </c>
      <c r="DP58" s="15">
        <f t="shared" ca="1" si="95"/>
        <v>24.418149927087132</v>
      </c>
      <c r="DQ58" s="15">
        <f t="shared" ca="1" si="96"/>
        <v>24.621850072912867</v>
      </c>
      <c r="DR58" s="9"/>
      <c r="DS58" s="9"/>
      <c r="DT58" s="9"/>
      <c r="DU58" s="89">
        <v>8.3196742622116474E-3</v>
      </c>
      <c r="DV58" s="89">
        <f t="shared" ca="1" si="18"/>
        <v>8.3075100255194986E-3</v>
      </c>
      <c r="DW58" s="72">
        <f t="shared" ca="1" si="19"/>
        <v>0.11845528082373177</v>
      </c>
      <c r="DX58" s="37"/>
      <c r="DY58" s="35">
        <f t="shared" si="39"/>
        <v>0.6964653616656028</v>
      </c>
      <c r="DZ58" s="56"/>
      <c r="EA58" s="56"/>
      <c r="EC58" s="2" t="e" vm="58">
        <v>#VALUE!</v>
      </c>
      <c r="EE58" s="10" cm="1">
        <f t="array" aca="1" ref="EE58" ca="1">_FV(EC58,"Ações em circulação",TRUE)</f>
        <v>384000000</v>
      </c>
      <c r="EF58" s="18">
        <f>VLOOKUP(BP58,Fundamentus!A:U,5,FALSE)</f>
        <v>1.194</v>
      </c>
      <c r="EG58" s="2">
        <f t="shared" ca="1" si="20"/>
        <v>7882613065.3266335</v>
      </c>
      <c r="EH58" s="17">
        <v>1375515979.8994975</v>
      </c>
      <c r="EI58" s="17">
        <f t="shared" ca="1" si="21"/>
        <v>1375515979.8994975</v>
      </c>
      <c r="EK58" s="16">
        <f t="shared" ca="1" si="22"/>
        <v>0</v>
      </c>
      <c r="EL58" s="32" t="str">
        <f>IF(VLOOKUP(BP58,Fundamentus!A:U,3,FALSE)&lt;15,"Bom",IF(VLOOKUP(BP58,Fundamentus!A:U,3,FALSE)&gt;15,"Ruim","n/a"))</f>
        <v>Bom</v>
      </c>
      <c r="EM58" s="28" t="str">
        <f>IF(VLOOKUP(BP58,Fundamentus!A:U,4,FALSE)&lt;1,"Baixo",IF(VLOOKUP(BP58,Fundamentus!A:U,4,FALSE)&lt;1.5,"Moderado",IF(VLOOKUP(BP58,Fundamentus!A:U,4,FALSE)&gt;1.5,"Alto","n/a")))</f>
        <v>Moderado</v>
      </c>
      <c r="EN58" s="17" t="str">
        <f>IF(VLOOKUP(BP58,Fundamentus!A:U,8,FALSE)&lt;0,"Risco elevado",IF(VLOOKUP(BP58,Fundamentus!A:U,8,FALSE)&lt;1,"Saudável",IF(VLOOKUP(BP58,Fundamentus!A:U,8,FALSE)&lt;3,"Estável",IF(VLOOKUP(BP58,Fundamentus!A:U,8,FALSE)&gt;3,"Alerta","n/a"))))</f>
        <v>Estável</v>
      </c>
      <c r="EO58" s="28" t="str">
        <f t="shared" si="23"/>
        <v>Bom</v>
      </c>
      <c r="EP58" s="17" t="str">
        <f>IF(VLOOKUP(BP58,Fundamentus!A:U,12,FALSE)&lt;2,"Subvalorizada",IF(VLOOKUP(BP58,Fundamentus!A:U,12,FALSE)&lt;6,"Muita barata",IF(VLOOKUP(BP58,Fundamentus!A:U,12,FALSE)&lt;6,"Barata",IF(VLOOKUP(BP58,Fundamentus!A:U,12,FALSE)&lt;8,"Atrativa",IF(VLOOKUP(BP58,Fundamentus!A:U,12,FALSE)&gt;8,"Supervalorizada","n/a")))))</f>
        <v>Supervalorizada</v>
      </c>
      <c r="ER58" s="17" t="str">
        <f>IF(VLOOKUP(BP58,Fundamentus!A:U,17,FALSE)&lt;0.1,"Fraco retorno",IF(VLOOKUP(BP58,Fundamentus!A:U,17,FALSE)&gt;0.1,"Bom retorno","n/a"))</f>
        <v>Bom retorno</v>
      </c>
      <c r="ES58" s="17" t="str">
        <f>IF(VLOOKUP(BP58,Fundamentus!A:U,16,FALSE)&lt;0.1,"Ineficiente",IF(VLOOKUP(BP58,Fundamentus!A:U,16,FALSE)&gt;0.1,"Eficiente","n/a"))</f>
        <v>Ineficiente</v>
      </c>
      <c r="ET58" s="33" t="str">
        <f>IF(VLOOKUP(BP58,Fundamentus!A:U,16,FALSE)&lt;0.1,"Oper. Ineficiente",IF(VLOOKUP(BP58,Fundamentus!A:U,16,FALSE)&gt;0.1,"Oper.Eficiente","n/a"))</f>
        <v>Oper. Ineficiente</v>
      </c>
      <c r="EU58" s="34">
        <f>VLOOKUP(BP58,Fundamentus!A:U,14,FALSE)</f>
        <v>0.17449999999999999</v>
      </c>
      <c r="EV58" s="17" t="str">
        <f>IF(VLOOKUP(BP58,Fundamentus!A:U,21,FALSE)&lt;0,"Negativo",IF(VLOOKUP(BP58,Fundamentus!A:U,21,FALSE)&lt;0.05,"Fraco",IF(VLOOKUP(BP58,Fundamentus!A:U,21,FALSE)&lt;0.1,"Bom",IF(VLOOKUP(BP58,Fundamentus!A:U,21,FALSE)&gt;0.1,"Muito bom","n/a"))))</f>
        <v>Muito bom</v>
      </c>
      <c r="EX58" s="29" t="str">
        <f>IF(VLOOKUP(BP58,Fundamentus!A:U,15,FALSE)&gt;1,"Bom",IF(VLOOKUP(BP58,Fundamentus!A:U,15,FALSE)&lt;1,"Ruim","n/a"))</f>
        <v>Bom</v>
      </c>
      <c r="EY58" s="17" t="str">
        <f>IF(VLOOKUP(BP58,Fundamentus!A:U,20,FALSE)&lt;0.5,"Baixa",IF(VLOOKUP(BP58,Fundamentus!A:U,20,FALSE)&lt;1,"Moderada",IF(VLOOKUP(BP58,Fundamentus!A:U,20,FALSE)&lt;2,"Alerta",IF(VLOOKUP(BP58,Fundamentus!A:U,20,FALSE)&gt;2,"Alta","n/a"))))</f>
        <v>Moderada</v>
      </c>
    </row>
    <row r="59" spans="1:155" s="2" customFormat="1" ht="11.25" x14ac:dyDescent="0.2">
      <c r="A59" s="4">
        <v>16.440000000000001</v>
      </c>
      <c r="B59" s="4">
        <v>16.21</v>
      </c>
      <c r="C59" s="4">
        <v>15.89</v>
      </c>
      <c r="D59" s="4">
        <v>15.55</v>
      </c>
      <c r="E59" s="4">
        <v>14.94</v>
      </c>
      <c r="F59" s="4">
        <v>14.53</v>
      </c>
      <c r="G59" s="4">
        <v>14.48</v>
      </c>
      <c r="H59" s="4">
        <v>14.2</v>
      </c>
      <c r="I59" s="4">
        <v>14.27</v>
      </c>
      <c r="J59" s="4">
        <v>14.36</v>
      </c>
      <c r="K59" s="4">
        <v>14.4</v>
      </c>
      <c r="L59" s="4">
        <v>14.53</v>
      </c>
      <c r="M59" s="4">
        <v>14.43</v>
      </c>
      <c r="N59" s="4">
        <v>14.02</v>
      </c>
      <c r="O59" s="4">
        <v>13.9</v>
      </c>
      <c r="P59" s="4">
        <v>14.23</v>
      </c>
      <c r="Q59" s="4">
        <v>15.13</v>
      </c>
      <c r="R59" s="4">
        <v>16.350000000000001</v>
      </c>
      <c r="S59" s="4">
        <v>15.85</v>
      </c>
      <c r="T59" s="4">
        <v>15.01</v>
      </c>
      <c r="U59" s="4">
        <v>14.5</v>
      </c>
      <c r="V59" s="4">
        <v>14.74</v>
      </c>
      <c r="W59" s="4">
        <v>14.41</v>
      </c>
      <c r="X59" s="4">
        <v>14.21</v>
      </c>
      <c r="Y59" s="4">
        <v>14.29</v>
      </c>
      <c r="Z59" s="4">
        <v>14.49</v>
      </c>
      <c r="AA59" s="4">
        <v>14.54</v>
      </c>
      <c r="AB59" s="4">
        <v>14.17</v>
      </c>
      <c r="AC59" s="4">
        <v>14.08</v>
      </c>
      <c r="AD59" s="4">
        <v>14.66</v>
      </c>
      <c r="AE59" s="4">
        <v>14.53</v>
      </c>
      <c r="AF59" s="4">
        <v>15.28</v>
      </c>
      <c r="AG59" s="4">
        <v>15.66</v>
      </c>
      <c r="AH59" s="4">
        <v>14.95</v>
      </c>
      <c r="AI59" s="4">
        <v>14.55</v>
      </c>
      <c r="AJ59" s="4">
        <v>14.31</v>
      </c>
      <c r="AK59" s="4">
        <v>14.16</v>
      </c>
      <c r="AL59" s="4">
        <v>14.48</v>
      </c>
      <c r="AM59" s="4">
        <v>14.76</v>
      </c>
      <c r="AN59" s="4">
        <v>14.68</v>
      </c>
      <c r="AO59" s="4">
        <v>14.35</v>
      </c>
      <c r="AP59" s="4">
        <v>14.67</v>
      </c>
      <c r="AQ59" s="4">
        <v>15.64</v>
      </c>
      <c r="AR59" s="4">
        <v>15.2</v>
      </c>
      <c r="AS59" s="4">
        <v>15.99</v>
      </c>
      <c r="AT59" s="4">
        <v>15.85</v>
      </c>
      <c r="AU59" s="4">
        <v>15.1</v>
      </c>
      <c r="AV59" s="4">
        <v>15.2</v>
      </c>
      <c r="AW59" s="4">
        <v>15.12</v>
      </c>
      <c r="AX59" s="4">
        <v>15.28</v>
      </c>
      <c r="AY59" s="12">
        <v>15.8</v>
      </c>
      <c r="AZ59" s="12">
        <v>16.63</v>
      </c>
      <c r="BA59" s="12">
        <v>16.36</v>
      </c>
      <c r="BB59" s="15">
        <v>14.99</v>
      </c>
      <c r="BC59" s="52">
        <v>15.38</v>
      </c>
      <c r="BD59" s="52">
        <v>15.25</v>
      </c>
      <c r="BE59" s="52">
        <v>15.07</v>
      </c>
      <c r="BF59" s="52">
        <v>14.76</v>
      </c>
      <c r="BG59" s="67">
        <v>14.6</v>
      </c>
      <c r="BH59" s="52">
        <v>14.2</v>
      </c>
      <c r="BI59" s="52">
        <v>14.38</v>
      </c>
      <c r="BJ59" s="52">
        <v>14.9</v>
      </c>
      <c r="BK59" s="52">
        <v>14.4</v>
      </c>
      <c r="BL59" s="52">
        <v>13.97</v>
      </c>
      <c r="BM59" s="52">
        <v>13.61</v>
      </c>
      <c r="BN59" s="52">
        <v>13.69</v>
      </c>
      <c r="BO59" s="52" cm="1">
        <f t="array" aca="1" ref="BO59" ca="1">_FV(EC59,"Preço")</f>
        <v>13.69</v>
      </c>
      <c r="BP59" s="69" t="s">
        <v>56</v>
      </c>
      <c r="BQ59" s="36" cm="1">
        <f t="array" aca="1" ref="BQ59" ca="1">_FV(EC59,"Média de volume",TRUE)</f>
        <v>3983040</v>
      </c>
      <c r="BR59" s="36">
        <v>5151800</v>
      </c>
      <c r="BS59" s="36" cm="1">
        <f t="array" aca="1" ref="BS59" ca="1">_FV(EC59,"Volume")</f>
        <v>5151800</v>
      </c>
      <c r="BT59" s="24" cm="1">
        <f t="array" aca="1" ref="BT59" ca="1">_FV(EC59,"Beta")</f>
        <v>0.95989999999999998</v>
      </c>
      <c r="BU59" s="71" cm="1">
        <f t="array" aca="1" ref="BU59" ca="1">_FV(EC59,"Variação (%)",TRUE)</f>
        <v>-6.5310000000000003E-3</v>
      </c>
      <c r="BW59" s="17" cm="1">
        <f t="array" aca="1" ref="BW59" ca="1">_FV(EC59,"Baixo")</f>
        <v>13.69</v>
      </c>
      <c r="BX59" s="17" cm="1">
        <f t="array" aca="1" ref="BX59" ca="1">_FV(EC59,"Alto")</f>
        <v>14.01</v>
      </c>
      <c r="BY59" s="24"/>
      <c r="BZ59" s="63">
        <f ca="1">SQRT(22.5*(BO59/VLOOKUP(BP59,Fundamentus!A:U,3,FALSE))*(BO59/VLOOKUP(BP59,Fundamentus!A:U,4,FALSE)))</f>
        <v>11.743684422812372</v>
      </c>
      <c r="CB59" s="62">
        <f t="shared" ca="1" si="24"/>
        <v>0</v>
      </c>
      <c r="CC59" s="8"/>
      <c r="CD59" s="61">
        <f t="shared" si="25"/>
        <v>13.61</v>
      </c>
      <c r="CE59" s="61">
        <f t="shared" si="26"/>
        <v>16.63</v>
      </c>
      <c r="CF59" s="61">
        <f t="shared" si="27"/>
        <v>14.856969696969699</v>
      </c>
      <c r="CG59" s="14"/>
      <c r="CH59" s="35">
        <f t="shared" si="1"/>
        <v>12.334117072687905</v>
      </c>
      <c r="CI59" s="15">
        <f t="shared" si="28"/>
        <v>13.295000000000073</v>
      </c>
      <c r="CJ59" s="35">
        <f t="shared" si="2"/>
        <v>14.255882927312241</v>
      </c>
      <c r="CL59" s="14"/>
      <c r="CM59" s="17">
        <f t="shared" si="3"/>
        <v>9.6366666666666667</v>
      </c>
      <c r="CN59" s="17">
        <f t="shared" si="4"/>
        <v>11.623333333333333</v>
      </c>
      <c r="CO59" s="17">
        <f t="shared" si="5"/>
        <v>12.656666666666666</v>
      </c>
      <c r="CP59" s="38">
        <f t="shared" si="29"/>
        <v>14.643333333333333</v>
      </c>
      <c r="CQ59" s="17">
        <f t="shared" si="6"/>
        <v>15.676666666666666</v>
      </c>
      <c r="CR59" s="17">
        <f t="shared" si="7"/>
        <v>17.663333333333334</v>
      </c>
      <c r="CS59" s="17">
        <f t="shared" si="8"/>
        <v>18.696666666666665</v>
      </c>
      <c r="CT59" s="2" cm="1">
        <f t="array" aca="1" ref="CT59" ca="1">MAX(_xlfn._xlws.FILTER(CM59:CS59,CM59:CS59&lt;BO59))</f>
        <v>12.656666666666666</v>
      </c>
      <c r="CU59" s="2" cm="1">
        <f t="array" aca="1" ref="CU59" ca="1">MIN(_xlfn._xlws.FILTER($CM59:$CS59,$CM59:$CS59&gt;BO59))</f>
        <v>14.643333333333333</v>
      </c>
      <c r="CV59" s="16">
        <f t="shared" ca="1" si="80"/>
        <v>0.15696602580984975</v>
      </c>
      <c r="CW59" s="20">
        <f t="shared" ca="1" si="81"/>
        <v>-7.8483012904924876E-2</v>
      </c>
      <c r="CX59" s="20">
        <f t="shared" ca="1" si="82"/>
        <v>-5.2322008603283253E-2</v>
      </c>
      <c r="CY59" s="20">
        <f t="shared" ca="1" si="83"/>
        <v>-3.1393205161969952E-2</v>
      </c>
      <c r="CZ59" s="20">
        <f t="shared" ca="1" si="84"/>
        <v>-1.7440669534427751E-2</v>
      </c>
      <c r="DA59" s="20">
        <f t="shared" ca="1" si="85"/>
        <v>-9.2332956358735143E-3</v>
      </c>
      <c r="DB59" s="20">
        <f t="shared" ca="1" si="86"/>
        <v>-4.7565462366621139E-3</v>
      </c>
      <c r="DC59" s="20">
        <f t="shared" ca="1" si="87"/>
        <v>-2.4148619355361502E-3</v>
      </c>
      <c r="DD59" s="21">
        <f t="shared" ca="1" si="88"/>
        <v>2.4148619355361502E-3</v>
      </c>
      <c r="DE59" s="21">
        <f t="shared" ca="1" si="89"/>
        <v>4.7565462366621139E-3</v>
      </c>
      <c r="DF59" s="21">
        <f t="shared" ca="1" si="90"/>
        <v>9.2332956358735143E-3</v>
      </c>
      <c r="DG59" s="21">
        <f t="shared" ca="1" si="91"/>
        <v>1.7440669534427751E-2</v>
      </c>
      <c r="DH59" s="21">
        <f t="shared" ca="1" si="92"/>
        <v>3.1393205161969952E-2</v>
      </c>
      <c r="DI59" s="21">
        <f t="shared" ca="1" si="93"/>
        <v>5.2322008603283253E-2</v>
      </c>
      <c r="DJ59" s="21">
        <f t="shared" ca="1" si="94"/>
        <v>7.8483012904924876E-2</v>
      </c>
      <c r="DL59" s="16" cm="1">
        <f t="array" aca="1" ref="DL59" ca="1">MAX(_xlfn._xlws.FILTER(CW59:DJ59,CW59:DJ59&lt;BU59))</f>
        <v>-9.2332956358735143E-3</v>
      </c>
      <c r="DM59" s="16" cm="1">
        <f t="array" aca="1" ref="DM59" ca="1">MIN(_xlfn._xlws.FILTER(CW59:DJ59,CW59:DJ59&gt;BU59))</f>
        <v>-4.7565462366621139E-3</v>
      </c>
      <c r="DN59" s="2" cm="1">
        <f t="array" aca="1" ref="DN59" ca="1">_FV(EC59,"Fechamento anterior",TRUE)</f>
        <v>13.78</v>
      </c>
      <c r="DO59" s="28">
        <f t="shared" ca="1" si="15"/>
        <v>0.60358325885682185</v>
      </c>
      <c r="DP59" s="15">
        <f t="shared" ca="1" si="95"/>
        <v>13.652765186137662</v>
      </c>
      <c r="DQ59" s="15">
        <f t="shared" ca="1" si="96"/>
        <v>13.714454792858795</v>
      </c>
      <c r="DR59" s="9"/>
      <c r="DS59" s="9"/>
      <c r="DT59" s="9"/>
      <c r="DU59" s="89">
        <v>4.5359260516280985E-3</v>
      </c>
      <c r="DV59" s="89">
        <f t="shared" ca="1" si="18"/>
        <v>4.4767493992114004E-3</v>
      </c>
      <c r="DW59" s="72">
        <f t="shared" ca="1" si="19"/>
        <v>0.41108025626476824</v>
      </c>
      <c r="DX59" s="37"/>
      <c r="DY59" s="35">
        <f t="shared" si="39"/>
        <v>0.48044146365608403</v>
      </c>
      <c r="DZ59" s="56"/>
      <c r="EA59" s="56"/>
      <c r="EC59" s="2" t="e" vm="59">
        <v>#VALUE!</v>
      </c>
      <c r="EE59" s="10" cm="1">
        <f t="array" aca="1" ref="EE59" ca="1">_FV(EC59,"Ações em circulação",TRUE)</f>
        <v>3000000000</v>
      </c>
      <c r="EF59" s="18">
        <f>VLOOKUP(BP59,Fundamentus!A:U,5,FALSE)</f>
        <v>0</v>
      </c>
      <c r="EG59" s="2" t="e">
        <f t="shared" ca="1" si="20"/>
        <v>#DIV/0!</v>
      </c>
      <c r="EH59" s="17" t="e">
        <v>#DIV/0!</v>
      </c>
      <c r="EI59" s="17" t="e">
        <f t="shared" ca="1" si="21"/>
        <v>#DIV/0!</v>
      </c>
      <c r="EK59" s="16" t="e">
        <f t="shared" ca="1" si="22"/>
        <v>#DIV/0!</v>
      </c>
      <c r="EL59" s="32" t="str">
        <f>IF(VLOOKUP(BP59,Fundamentus!A:U,3,FALSE)&lt;15,"Bom",IF(VLOOKUP(BP59,Fundamentus!A:U,3,FALSE)&gt;15,"Ruim","n/a"))</f>
        <v>Bom</v>
      </c>
      <c r="EM59" s="28" t="str">
        <f>IF(VLOOKUP(BP59,Fundamentus!A:U,4,FALSE)&lt;1,"Baixo",IF(VLOOKUP(BP59,Fundamentus!A:U,4,FALSE)&lt;1.5,"Moderado",IF(VLOOKUP(BP59,Fundamentus!A:U,4,FALSE)&gt;1.5,"Alto","n/a")))</f>
        <v>Alto</v>
      </c>
      <c r="EN59" s="17" t="str">
        <f>IF(VLOOKUP(BP59,Fundamentus!A:U,8,FALSE)&lt;0,"Risco elevado",IF(VLOOKUP(BP59,Fundamentus!A:U,8,FALSE)&lt;1,"Saudável",IF(VLOOKUP(BP59,Fundamentus!A:U,8,FALSE)&lt;3,"Estável",IF(VLOOKUP(BP59,Fundamentus!A:U,8,FALSE)&gt;3,"Alerta","n/a"))))</f>
        <v>Alerta</v>
      </c>
      <c r="EO59" s="28" t="str">
        <f t="shared" si="23"/>
        <v>Ruim</v>
      </c>
      <c r="EP59" s="17" t="str">
        <f>IF(VLOOKUP(BP59,Fundamentus!A:U,12,FALSE)&lt;2,"Subvalorizada",IF(VLOOKUP(BP59,Fundamentus!A:U,12,FALSE)&lt;6,"Muita barata",IF(VLOOKUP(BP59,Fundamentus!A:U,12,FALSE)&lt;6,"Barata",IF(VLOOKUP(BP59,Fundamentus!A:U,12,FALSE)&lt;8,"Atrativa",IF(VLOOKUP(BP59,Fundamentus!A:U,12,FALSE)&gt;8,"Supervalorizada","n/a")))))</f>
        <v>Subvalorizada</v>
      </c>
      <c r="ER59" s="17" t="str">
        <f>IF(VLOOKUP(BP59,Fundamentus!A:U,17,FALSE)&lt;0.1,"Fraco retorno",IF(VLOOKUP(BP59,Fundamentus!A:U,17,FALSE)&gt;0.1,"Bom retorno","n/a"))</f>
        <v>Bom retorno</v>
      </c>
      <c r="ES59" s="17" t="str">
        <f>IF(VLOOKUP(BP59,Fundamentus!A:U,16,FALSE)&lt;0.1,"Ineficiente",IF(VLOOKUP(BP59,Fundamentus!A:U,16,FALSE)&gt;0.1,"Eficiente","n/a"))</f>
        <v>Ineficiente</v>
      </c>
      <c r="ET59" s="33" t="str">
        <f>IF(VLOOKUP(BP59,Fundamentus!A:U,16,FALSE)&lt;0.1,"Oper. Ineficiente",IF(VLOOKUP(BP59,Fundamentus!A:U,16,FALSE)&gt;0.1,"Oper.Eficiente","n/a"))</f>
        <v>Oper. Ineficiente</v>
      </c>
      <c r="EU59" s="34">
        <f>VLOOKUP(BP59,Fundamentus!A:U,14,FALSE)</f>
        <v>0</v>
      </c>
      <c r="EV59" s="17" t="str">
        <f>IF(VLOOKUP(BP59,Fundamentus!A:U,21,FALSE)&lt;0,"Negativo",IF(VLOOKUP(BP59,Fundamentus!A:U,21,FALSE)&lt;0.05,"Fraco",IF(VLOOKUP(BP59,Fundamentus!A:U,21,FALSE)&lt;0.1,"Bom",IF(VLOOKUP(BP59,Fundamentus!A:U,21,FALSE)&gt;0.1,"Muito bom","n/a"))))</f>
        <v>Fraco</v>
      </c>
      <c r="EX59" s="29" t="str">
        <f>IF(VLOOKUP(BP59,Fundamentus!A:U,15,FALSE)&gt;1,"Bom",IF(VLOOKUP(BP59,Fundamentus!A:U,15,FALSE)&lt;1,"Ruim","n/a"))</f>
        <v>Bom</v>
      </c>
      <c r="EY59" s="17" t="str">
        <f>IF(VLOOKUP(BP59,Fundamentus!A:U,20,FALSE)&lt;0.5,"Baixa",IF(VLOOKUP(BP59,Fundamentus!A:U,20,FALSE)&lt;1,"Moderada",IF(VLOOKUP(BP59,Fundamentus!A:U,20,FALSE)&lt;2,"Alerta",IF(VLOOKUP(BP59,Fundamentus!A:U,20,FALSE)&gt;2,"Alta","n/a"))))</f>
        <v>Baixa</v>
      </c>
    </row>
    <row r="60" spans="1:155" s="2" customFormat="1" ht="11.25" x14ac:dyDescent="0.2">
      <c r="A60" s="4">
        <v>7.46</v>
      </c>
      <c r="B60" s="4">
        <v>7.7</v>
      </c>
      <c r="C60" s="4">
        <v>7.16</v>
      </c>
      <c r="D60" s="4">
        <v>6.97</v>
      </c>
      <c r="E60" s="4">
        <v>6.91</v>
      </c>
      <c r="F60" s="4">
        <v>7.19</v>
      </c>
      <c r="G60" s="4">
        <v>6.9</v>
      </c>
      <c r="H60" s="4">
        <v>7.18</v>
      </c>
      <c r="I60" s="4">
        <v>7.4</v>
      </c>
      <c r="J60" s="4">
        <v>7.71</v>
      </c>
      <c r="K60" s="4">
        <v>7.92</v>
      </c>
      <c r="L60" s="4">
        <v>8.1199999999999992</v>
      </c>
      <c r="M60" s="4">
        <v>7.85</v>
      </c>
      <c r="N60" s="4">
        <v>8.0500000000000007</v>
      </c>
      <c r="O60" s="4">
        <v>7.62</v>
      </c>
      <c r="P60" s="4">
        <v>7.47</v>
      </c>
      <c r="Q60" s="4">
        <v>7.7</v>
      </c>
      <c r="R60" s="4">
        <v>7.53</v>
      </c>
      <c r="S60" s="4">
        <v>8.4499999999999993</v>
      </c>
      <c r="T60" s="4">
        <v>7.92</v>
      </c>
      <c r="U60" s="4">
        <v>7.3</v>
      </c>
      <c r="V60" s="4">
        <v>7.64</v>
      </c>
      <c r="W60" s="4">
        <v>7.69</v>
      </c>
      <c r="X60" s="4">
        <v>7.6</v>
      </c>
      <c r="Y60" s="4">
        <v>7.52</v>
      </c>
      <c r="Z60" s="4">
        <v>7.63</v>
      </c>
      <c r="AA60" s="4">
        <v>7.47</v>
      </c>
      <c r="AB60" s="4">
        <v>8.3000000000000007</v>
      </c>
      <c r="AC60" s="4">
        <v>8.42</v>
      </c>
      <c r="AD60" s="4">
        <v>8.86</v>
      </c>
      <c r="AE60" s="4">
        <v>8.85</v>
      </c>
      <c r="AF60" s="4">
        <v>8.8800000000000008</v>
      </c>
      <c r="AG60" s="4">
        <v>7.03</v>
      </c>
      <c r="AH60" s="4">
        <v>6.69</v>
      </c>
      <c r="AI60" s="4">
        <v>6.7</v>
      </c>
      <c r="AJ60" s="4">
        <v>6.66</v>
      </c>
      <c r="AK60" s="4">
        <v>6.92</v>
      </c>
      <c r="AL60" s="4">
        <v>6.9</v>
      </c>
      <c r="AM60" s="4">
        <v>6.78</v>
      </c>
      <c r="AN60" s="4">
        <v>6.97</v>
      </c>
      <c r="AO60" s="4">
        <v>7.18</v>
      </c>
      <c r="AP60" s="4">
        <v>7.18</v>
      </c>
      <c r="AQ60" s="4">
        <v>7.22</v>
      </c>
      <c r="AR60" s="4">
        <v>6.9</v>
      </c>
      <c r="AS60" s="4">
        <v>6.77</v>
      </c>
      <c r="AT60" s="4">
        <v>7.05</v>
      </c>
      <c r="AU60" s="4">
        <v>7.1549999999999994</v>
      </c>
      <c r="AV60" s="4">
        <v>7</v>
      </c>
      <c r="AW60" s="4">
        <v>6.8</v>
      </c>
      <c r="AX60" s="4">
        <v>6.68</v>
      </c>
      <c r="AY60" s="12">
        <v>6.8</v>
      </c>
      <c r="AZ60" s="12">
        <v>7.01</v>
      </c>
      <c r="BA60" s="12">
        <v>7.01</v>
      </c>
      <c r="BB60" s="15">
        <v>7.1</v>
      </c>
      <c r="BC60" s="52">
        <v>6.93</v>
      </c>
      <c r="BD60" s="52">
        <v>6.8</v>
      </c>
      <c r="BE60" s="52">
        <v>7.12</v>
      </c>
      <c r="BF60" s="52">
        <v>7.16</v>
      </c>
      <c r="BG60" s="67">
        <v>7.07</v>
      </c>
      <c r="BH60" s="52">
        <v>7.07</v>
      </c>
      <c r="BI60" s="52">
        <v>6.84</v>
      </c>
      <c r="BJ60" s="52">
        <v>7.04</v>
      </c>
      <c r="BK60" s="52">
        <v>6.97</v>
      </c>
      <c r="BL60" s="52">
        <v>6.91</v>
      </c>
      <c r="BM60" s="52">
        <v>6.95</v>
      </c>
      <c r="BN60" s="52">
        <v>7.96</v>
      </c>
      <c r="BO60" s="52" cm="1">
        <f t="array" aca="1" ref="BO60" ca="1">_FV(EC60,"Preço")</f>
        <v>7.96</v>
      </c>
      <c r="BP60" s="69" t="s">
        <v>57</v>
      </c>
      <c r="BQ60" s="36" cm="1">
        <f t="array" aca="1" ref="BQ60" ca="1">_FV(EC60,"Média de volume",TRUE)</f>
        <v>77470</v>
      </c>
      <c r="BR60" s="36">
        <v>427600</v>
      </c>
      <c r="BS60" s="36" cm="1">
        <f t="array" aca="1" ref="BS60" ca="1">_FV(EC60,"Volume")</f>
        <v>427600</v>
      </c>
      <c r="BT60" s="24" cm="1">
        <f t="array" aca="1" ref="BT60" ca="1">_FV(EC60,"Beta")</f>
        <v>1.1987000000000001</v>
      </c>
      <c r="BU60" s="71" cm="1">
        <f t="array" aca="1" ref="BU60" ca="1">_FV(EC60,"Variação (%)",TRUE)</f>
        <v>0.15195400000000001</v>
      </c>
      <c r="BW60" s="17" cm="1">
        <f t="array" aca="1" ref="BW60" ca="1">_FV(EC60,"Baixo")</f>
        <v>7.16</v>
      </c>
      <c r="BX60" s="17" cm="1">
        <f t="array" aca="1" ref="BX60" ca="1">_FV(EC60,"Alto")</f>
        <v>8.1999999999999993</v>
      </c>
      <c r="BY60" s="24"/>
      <c r="BZ60" s="63">
        <f ca="1">SQRT(22.5*(BO60/VLOOKUP(BP60,Fundamentus!A:U,3,FALSE))*(BO60/VLOOKUP(BP60,Fundamentus!A:U,4,FALSE)))</f>
        <v>24.25597062441074</v>
      </c>
      <c r="CB60" s="62">
        <f t="shared" ca="1" si="24"/>
        <v>0</v>
      </c>
      <c r="CC60" s="8"/>
      <c r="CD60" s="61">
        <f t="shared" si="25"/>
        <v>6.66</v>
      </c>
      <c r="CE60" s="61">
        <f t="shared" si="26"/>
        <v>8.8800000000000008</v>
      </c>
      <c r="CF60" s="61">
        <f t="shared" si="27"/>
        <v>7.3438636363636371</v>
      </c>
      <c r="CG60" s="14"/>
      <c r="CH60" s="35">
        <f t="shared" si="1"/>
        <v>7.1515414851102612</v>
      </c>
      <c r="CI60" s="15">
        <f t="shared" si="28"/>
        <v>7.9500000000000455</v>
      </c>
      <c r="CJ60" s="35">
        <f t="shared" si="2"/>
        <v>8.7484585148898297</v>
      </c>
      <c r="CL60" s="14"/>
      <c r="CM60" s="17">
        <f t="shared" si="3"/>
        <v>4.5666666666666647</v>
      </c>
      <c r="CN60" s="17">
        <f t="shared" si="4"/>
        <v>5.6133333333333324</v>
      </c>
      <c r="CO60" s="17">
        <f t="shared" si="5"/>
        <v>6.7866666666666653</v>
      </c>
      <c r="CP60" s="38">
        <f t="shared" si="29"/>
        <v>7.833333333333333</v>
      </c>
      <c r="CQ60" s="17">
        <f t="shared" si="6"/>
        <v>9.0066666666666659</v>
      </c>
      <c r="CR60" s="17">
        <f t="shared" si="7"/>
        <v>10.053333333333335</v>
      </c>
      <c r="CS60" s="17">
        <f t="shared" si="8"/>
        <v>11.226666666666667</v>
      </c>
      <c r="CT60" s="2" cm="1">
        <f t="array" aca="1" ref="CT60" ca="1">MAX(_xlfn._xlws.FILTER(CM60:CS60,CM60:CS60&lt;BO60))</f>
        <v>7.833333333333333</v>
      </c>
      <c r="CU60" s="2" cm="1">
        <f t="array" aca="1" ref="CU60" ca="1">MIN(_xlfn._xlws.FILTER($CM60:$CS60,$CM60:$CS60&gt;BO60))</f>
        <v>9.0066666666666659</v>
      </c>
      <c r="CV60" s="16">
        <f t="shared" ca="1" si="80"/>
        <v>0.14978723404255323</v>
      </c>
      <c r="CW60" s="20">
        <f t="shared" ca="1" si="81"/>
        <v>-7.4893617021276615E-2</v>
      </c>
      <c r="CX60" s="20">
        <f t="shared" ca="1" si="82"/>
        <v>-4.9929078014184412E-2</v>
      </c>
      <c r="CY60" s="20">
        <f t="shared" ca="1" si="83"/>
        <v>-2.9957446808510646E-2</v>
      </c>
      <c r="CZ60" s="20">
        <f t="shared" ca="1" si="84"/>
        <v>-1.6643026004728136E-2</v>
      </c>
      <c r="DA60" s="20">
        <f t="shared" ca="1" si="85"/>
        <v>-8.8110137672090128E-3</v>
      </c>
      <c r="DB60" s="20">
        <f t="shared" ca="1" si="86"/>
        <v>-4.5390070921985824E-3</v>
      </c>
      <c r="DC60" s="20">
        <f t="shared" ca="1" si="87"/>
        <v>-2.3044189852700495E-3</v>
      </c>
      <c r="DD60" s="21">
        <f t="shared" ca="1" si="88"/>
        <v>2.3044189852700495E-3</v>
      </c>
      <c r="DE60" s="21">
        <f t="shared" ca="1" si="89"/>
        <v>4.5390070921985824E-3</v>
      </c>
      <c r="DF60" s="21">
        <f t="shared" ca="1" si="90"/>
        <v>8.8110137672090128E-3</v>
      </c>
      <c r="DG60" s="21">
        <f t="shared" ca="1" si="91"/>
        <v>1.6643026004728136E-2</v>
      </c>
      <c r="DH60" s="21">
        <f t="shared" ca="1" si="92"/>
        <v>2.9957446808510646E-2</v>
      </c>
      <c r="DI60" s="21">
        <f t="shared" ca="1" si="93"/>
        <v>4.9929078014184412E-2</v>
      </c>
      <c r="DJ60" s="21">
        <f t="shared" ca="1" si="94"/>
        <v>7.4893617021276615E-2</v>
      </c>
      <c r="DL60" s="16" cm="1">
        <f t="array" aca="1" ref="DL60" ca="1">MAX(_xlfn._xlws.FILTER(CW60:DJ60,CW60:DJ60&lt;BU60))</f>
        <v>7.4893617021276615E-2</v>
      </c>
      <c r="DM60" s="16" t="e" cm="1" vm="4">
        <f t="array" aca="1" ref="DM60" ca="1">MIN(_xlfn._xlws.FILTER(CW60:DJ60,CW60:DJ60&gt;BU60))</f>
        <v>#VALUE!</v>
      </c>
      <c r="DN60" s="2" cm="1">
        <f t="array" aca="1" ref="DN60" ca="1">_FV(EC60,"Fechamento anterior",TRUE)</f>
        <v>6.91</v>
      </c>
      <c r="DO60" s="28" t="e" vm="5">
        <f t="shared" ca="1" si="15"/>
        <v>#VALUE!</v>
      </c>
      <c r="DP60" s="15">
        <f t="shared" ca="1" si="95"/>
        <v>7.4275148936170217</v>
      </c>
      <c r="DQ60" s="15" t="e" vm="5">
        <f t="shared" ca="1" si="96"/>
        <v>#VALUE!</v>
      </c>
      <c r="DR60" s="9"/>
      <c r="DS60" s="9"/>
      <c r="DT60" s="9"/>
      <c r="DU60" s="89">
        <v>6.5444080649286474E-3</v>
      </c>
      <c r="DV60" s="89" t="e" vm="5">
        <f t="shared" ca="1" si="18"/>
        <v>#VALUE!</v>
      </c>
      <c r="DW60" s="72">
        <f t="shared" ca="1" si="19"/>
        <v>1.2524132204081819E-2</v>
      </c>
      <c r="DX60" s="37"/>
      <c r="DY60" s="35">
        <f t="shared" si="39"/>
        <v>0.39922925744489213</v>
      </c>
      <c r="DZ60" s="56"/>
      <c r="EA60" s="56"/>
      <c r="EC60" s="2" t="e" vm="60">
        <v>#VALUE!</v>
      </c>
      <c r="EE60" s="10" cm="1">
        <f t="array" aca="1" ref="EE60" ca="1">_FV(EC60,"Ações em circulação",TRUE)</f>
        <v>94507240</v>
      </c>
      <c r="EF60" s="18">
        <f>VLOOKUP(BP60,Fundamentus!A:U,5,FALSE)</f>
        <v>0.123</v>
      </c>
      <c r="EG60" s="2">
        <f t="shared" ca="1" si="20"/>
        <v>6116078295.9349594</v>
      </c>
      <c r="EH60" s="17">
        <v>127214428.55544715</v>
      </c>
      <c r="EI60" s="17">
        <f t="shared" ca="1" si="21"/>
        <v>127214428.55544715</v>
      </c>
      <c r="EK60" s="16">
        <f t="shared" ca="1" si="22"/>
        <v>0</v>
      </c>
      <c r="EL60" s="32" t="str">
        <f>IF(VLOOKUP(BP60,Fundamentus!A:U,3,FALSE)&lt;15,"Bom",IF(VLOOKUP(BP60,Fundamentus!A:U,3,FALSE)&gt;15,"Ruim","n/a"))</f>
        <v>Bom</v>
      </c>
      <c r="EM60" s="28" t="str">
        <f>IF(VLOOKUP(BP60,Fundamentus!A:U,4,FALSE)&lt;1,"Baixo",IF(VLOOKUP(BP60,Fundamentus!A:U,4,FALSE)&lt;1.5,"Moderado",IF(VLOOKUP(BP60,Fundamentus!A:U,4,FALSE)&gt;1.5,"Alto","n/a")))</f>
        <v>Baixo</v>
      </c>
      <c r="EN60" s="17" t="str">
        <f>IF(VLOOKUP(BP60,Fundamentus!A:U,8,FALSE)&lt;0,"Risco elevado",IF(VLOOKUP(BP60,Fundamentus!A:U,8,FALSE)&lt;1,"Saudável",IF(VLOOKUP(BP60,Fundamentus!A:U,8,FALSE)&lt;3,"Estável",IF(VLOOKUP(BP60,Fundamentus!A:U,8,FALSE)&gt;3,"Alerta","n/a"))))</f>
        <v>Saudável</v>
      </c>
      <c r="EO60" s="28" t="str">
        <f t="shared" si="23"/>
        <v>Ruim</v>
      </c>
      <c r="EP60" s="17" t="str">
        <f>IF(VLOOKUP(BP60,Fundamentus!A:U,12,FALSE)&lt;2,"Subvalorizada",IF(VLOOKUP(BP60,Fundamentus!A:U,12,FALSE)&lt;6,"Muita barata",IF(VLOOKUP(BP60,Fundamentus!A:U,12,FALSE)&lt;6,"Barata",IF(VLOOKUP(BP60,Fundamentus!A:U,12,FALSE)&lt;8,"Atrativa",IF(VLOOKUP(BP60,Fundamentus!A:U,12,FALSE)&gt;8,"Supervalorizada","n/a")))))</f>
        <v>Muita barata</v>
      </c>
      <c r="ER60" s="17" t="str">
        <f>IF(VLOOKUP(BP60,Fundamentus!A:U,17,FALSE)&lt;0.1,"Fraco retorno",IF(VLOOKUP(BP60,Fundamentus!A:U,17,FALSE)&gt;0.1,"Bom retorno","n/a"))</f>
        <v>Fraco retorno</v>
      </c>
      <c r="ES60" s="17" t="str">
        <f>IF(VLOOKUP(BP60,Fundamentus!A:U,16,FALSE)&lt;0.1,"Ineficiente",IF(VLOOKUP(BP60,Fundamentus!A:U,16,FALSE)&gt;0.1,"Eficiente","n/a"))</f>
        <v>Ineficiente</v>
      </c>
      <c r="ET60" s="33" t="str">
        <f>IF(VLOOKUP(BP60,Fundamentus!A:U,16,FALSE)&lt;0.1,"Oper. Ineficiente",IF(VLOOKUP(BP60,Fundamentus!A:U,16,FALSE)&gt;0.1,"Oper.Eficiente","n/a"))</f>
        <v>Oper. Ineficiente</v>
      </c>
      <c r="EU60" s="34">
        <f>VLOOKUP(BP60,Fundamentus!A:U,14,FALSE)</f>
        <v>2.0799999999999999E-2</v>
      </c>
      <c r="EV60" s="17" t="str">
        <f>IF(VLOOKUP(BP60,Fundamentus!A:U,21,FALSE)&lt;0,"Negativo",IF(VLOOKUP(BP60,Fundamentus!A:U,21,FALSE)&lt;0.05,"Fraco",IF(VLOOKUP(BP60,Fundamentus!A:U,21,FALSE)&lt;0.1,"Bom",IF(VLOOKUP(BP60,Fundamentus!A:U,21,FALSE)&gt;0.1,"Muito bom","n/a"))))</f>
        <v>Fraco</v>
      </c>
      <c r="EX60" s="29" t="str">
        <f>IF(VLOOKUP(BP60,Fundamentus!A:U,15,FALSE)&gt;1,"Bom",IF(VLOOKUP(BP60,Fundamentus!A:U,15,FALSE)&lt;1,"Ruim","n/a"))</f>
        <v>Bom</v>
      </c>
      <c r="EY60" s="17" t="str">
        <f>IF(VLOOKUP(BP60,Fundamentus!A:U,20,FALSE)&lt;0.5,"Baixa",IF(VLOOKUP(BP60,Fundamentus!A:U,20,FALSE)&lt;1,"Moderada",IF(VLOOKUP(BP60,Fundamentus!A:U,20,FALSE)&lt;2,"Alerta",IF(VLOOKUP(BP60,Fundamentus!A:U,20,FALSE)&gt;2,"Alta","n/a"))))</f>
        <v>Baixa</v>
      </c>
    </row>
    <row r="61" spans="1:155" s="2" customFormat="1" ht="11.25" x14ac:dyDescent="0.2">
      <c r="A61" s="4">
        <v>10.7</v>
      </c>
      <c r="B61" s="4">
        <v>11.1</v>
      </c>
      <c r="C61" s="4">
        <v>10.28</v>
      </c>
      <c r="D61" s="4">
        <v>10.87</v>
      </c>
      <c r="E61" s="4">
        <v>10.38</v>
      </c>
      <c r="F61" s="4">
        <v>10.41</v>
      </c>
      <c r="G61" s="4">
        <v>10.029999999999999</v>
      </c>
      <c r="H61" s="4">
        <v>10.1</v>
      </c>
      <c r="I61" s="4">
        <v>10.48</v>
      </c>
      <c r="J61" s="4">
        <v>10.42</v>
      </c>
      <c r="K61" s="4">
        <v>10.51</v>
      </c>
      <c r="L61" s="4">
        <v>10.050000000000001</v>
      </c>
      <c r="M61" s="4">
        <v>10.34</v>
      </c>
      <c r="N61" s="4">
        <v>10.29</v>
      </c>
      <c r="O61" s="4">
        <v>10.26</v>
      </c>
      <c r="P61" s="4">
        <v>9.6</v>
      </c>
      <c r="Q61" s="4">
        <v>9.75</v>
      </c>
      <c r="R61" s="4">
        <v>9.7100000000000009</v>
      </c>
      <c r="S61" s="4">
        <v>9.08</v>
      </c>
      <c r="T61" s="4">
        <v>9.2899999999999991</v>
      </c>
      <c r="U61" s="4">
        <v>8.7799999999999994</v>
      </c>
      <c r="V61" s="4">
        <v>9.1</v>
      </c>
      <c r="W61" s="4">
        <v>8.91</v>
      </c>
      <c r="X61" s="4">
        <v>8.6999999999999993</v>
      </c>
      <c r="Y61" s="4">
        <v>9.0399999999999991</v>
      </c>
      <c r="Z61" s="4">
        <v>8.6999999999999993</v>
      </c>
      <c r="AA61" s="4">
        <v>8.93</v>
      </c>
      <c r="AB61" s="4">
        <v>8.61</v>
      </c>
      <c r="AC61" s="4">
        <v>8.2100000000000009</v>
      </c>
      <c r="AD61" s="4">
        <v>8.49</v>
      </c>
      <c r="AE61" s="4">
        <v>8.24</v>
      </c>
      <c r="AF61" s="4">
        <v>8.4</v>
      </c>
      <c r="AG61" s="4">
        <v>8.5</v>
      </c>
      <c r="AH61" s="4">
        <v>8.3000000000000007</v>
      </c>
      <c r="AI61" s="4">
        <v>8.42</v>
      </c>
      <c r="AJ61" s="4">
        <v>8.23</v>
      </c>
      <c r="AK61" s="4">
        <v>8.3800000000000008</v>
      </c>
      <c r="AL61" s="4">
        <v>8.77</v>
      </c>
      <c r="AM61" s="4">
        <v>8.76</v>
      </c>
      <c r="AN61" s="4">
        <v>8.64</v>
      </c>
      <c r="AO61" s="4">
        <v>8.1999999999999993</v>
      </c>
      <c r="AP61" s="4">
        <v>8.49</v>
      </c>
      <c r="AQ61" s="4">
        <v>8.42</v>
      </c>
      <c r="AR61" s="4">
        <v>7.96</v>
      </c>
      <c r="AS61" s="4">
        <v>8.18</v>
      </c>
      <c r="AT61" s="4">
        <v>8.15</v>
      </c>
      <c r="AU61" s="4">
        <v>8.1000000000000014</v>
      </c>
      <c r="AV61" s="4">
        <v>7.91</v>
      </c>
      <c r="AW61" s="4">
        <v>7.64</v>
      </c>
      <c r="AX61" s="4">
        <v>7.68</v>
      </c>
      <c r="AY61" s="12">
        <v>7.8</v>
      </c>
      <c r="AZ61" s="12">
        <v>8.18</v>
      </c>
      <c r="BA61" s="12">
        <v>8.0399999999999991</v>
      </c>
      <c r="BB61" s="15">
        <v>7.88</v>
      </c>
      <c r="BC61" s="52">
        <v>8.1999999999999993</v>
      </c>
      <c r="BD61" s="52">
        <v>9.39</v>
      </c>
      <c r="BE61" s="52">
        <v>9.3800000000000008</v>
      </c>
      <c r="BF61" s="52">
        <v>9.23</v>
      </c>
      <c r="BG61" s="67">
        <v>8.85</v>
      </c>
      <c r="BH61" s="52">
        <v>9.0399999999999991</v>
      </c>
      <c r="BI61" s="52">
        <v>9.15</v>
      </c>
      <c r="BJ61" s="52">
        <v>9.44</v>
      </c>
      <c r="BK61" s="52">
        <v>9.17</v>
      </c>
      <c r="BL61" s="52">
        <v>8.67</v>
      </c>
      <c r="BM61" s="52">
        <v>8.8000000000000007</v>
      </c>
      <c r="BN61" s="52">
        <v>8.27</v>
      </c>
      <c r="BO61" s="52" cm="1">
        <f t="array" aca="1" ref="BO61" ca="1">_FV(EC61,"Preço")</f>
        <v>8.27</v>
      </c>
      <c r="BP61" s="69" t="s">
        <v>58</v>
      </c>
      <c r="BQ61" s="36" cm="1">
        <f t="array" aca="1" ref="BQ61" ca="1">_FV(EC61,"Média de volume",TRUE)</f>
        <v>73990</v>
      </c>
      <c r="BR61" s="36">
        <v>55100</v>
      </c>
      <c r="BS61" s="36" cm="1">
        <f t="array" aca="1" ref="BS61" ca="1">_FV(EC61,"Volume")</f>
        <v>55100</v>
      </c>
      <c r="BT61" s="24" cm="1">
        <f t="array" aca="1" ref="BT61" ca="1">_FV(EC61,"Beta")</f>
        <v>0.99370000000000003</v>
      </c>
      <c r="BU61" s="71" cm="1">
        <f t="array" aca="1" ref="BU61" ca="1">_FV(EC61,"Variação (%)",TRUE)</f>
        <v>-2.2458999999999996E-2</v>
      </c>
      <c r="BW61" s="17" cm="1">
        <f t="array" aca="1" ref="BW61" ca="1">_FV(EC61,"Baixo")</f>
        <v>8.27</v>
      </c>
      <c r="BX61" s="17" cm="1">
        <f t="array" aca="1" ref="BX61" ca="1">_FV(EC61,"Alto")</f>
        <v>8.59</v>
      </c>
      <c r="BY61" s="24"/>
      <c r="BZ61" s="63">
        <f ca="1">SQRT(22.5*(BO61/VLOOKUP(BP61,Fundamentus!A:U,3,FALSE))*(BO61/VLOOKUP(BP61,Fundamentus!A:U,4,FALSE)))</f>
        <v>16.03497619252245</v>
      </c>
      <c r="CB61" s="62">
        <f t="shared" ca="1" si="24"/>
        <v>0</v>
      </c>
      <c r="CC61" s="8"/>
      <c r="CD61" s="61">
        <f t="shared" si="25"/>
        <v>7.64</v>
      </c>
      <c r="CE61" s="61">
        <f t="shared" si="26"/>
        <v>11.1</v>
      </c>
      <c r="CF61" s="61">
        <f t="shared" si="27"/>
        <v>9.0299999999999994</v>
      </c>
      <c r="CG61" s="14"/>
      <c r="CH61" s="35">
        <f t="shared" si="1"/>
        <v>7.2751605097305143</v>
      </c>
      <c r="CI61" s="15">
        <f t="shared" si="28"/>
        <v>8.0850000000000364</v>
      </c>
      <c r="CJ61" s="35">
        <f t="shared" si="2"/>
        <v>8.8948394902695593</v>
      </c>
      <c r="CL61" s="14"/>
      <c r="CM61" s="17">
        <f t="shared" si="3"/>
        <v>3.4466666666666645</v>
      </c>
      <c r="CN61" s="17">
        <f t="shared" si="4"/>
        <v>5.5433333333333321</v>
      </c>
      <c r="CO61" s="17">
        <f t="shared" si="5"/>
        <v>6.9066666666666645</v>
      </c>
      <c r="CP61" s="38">
        <f t="shared" si="29"/>
        <v>9.0033333333333321</v>
      </c>
      <c r="CQ61" s="17">
        <f t="shared" si="6"/>
        <v>10.366666666666664</v>
      </c>
      <c r="CR61" s="17">
        <f t="shared" si="7"/>
        <v>12.463333333333331</v>
      </c>
      <c r="CS61" s="17">
        <f t="shared" si="8"/>
        <v>13.826666666666664</v>
      </c>
      <c r="CT61" s="2" cm="1">
        <f t="array" aca="1" ref="CT61" ca="1">MAX(_xlfn._xlws.FILTER(CM61:CS61,CM61:CS61&lt;BO61))</f>
        <v>6.9066666666666645</v>
      </c>
      <c r="CU61" s="2" cm="1">
        <f t="array" aca="1" ref="CU61" ca="1">MIN(_xlfn._xlws.FILTER($CM61:$CS61,$CM61:$CS61&gt;BO61))</f>
        <v>9.0033333333333321</v>
      </c>
      <c r="CV61" s="16">
        <f t="shared" ca="1" si="80"/>
        <v>0.30357142857142883</v>
      </c>
      <c r="CW61" s="20">
        <f t="shared" ca="1" si="81"/>
        <v>-0.15178571428571441</v>
      </c>
      <c r="CX61" s="20">
        <f t="shared" ca="1" si="82"/>
        <v>-0.10119047619047628</v>
      </c>
      <c r="CY61" s="20">
        <f t="shared" ca="1" si="83"/>
        <v>-6.0714285714285762E-2</v>
      </c>
      <c r="CZ61" s="20">
        <f t="shared" ca="1" si="84"/>
        <v>-3.3730158730158756E-2</v>
      </c>
      <c r="DA61" s="20">
        <f t="shared" ca="1" si="85"/>
        <v>-1.7857142857142873E-2</v>
      </c>
      <c r="DB61" s="20">
        <f t="shared" ca="1" si="86"/>
        <v>-9.1991341991342068E-3</v>
      </c>
      <c r="DC61" s="20">
        <f t="shared" ca="1" si="87"/>
        <v>-4.6703296703296746E-3</v>
      </c>
      <c r="DD61" s="21">
        <f t="shared" ca="1" si="88"/>
        <v>4.6703296703296746E-3</v>
      </c>
      <c r="DE61" s="21">
        <f t="shared" ca="1" si="89"/>
        <v>9.1991341991342068E-3</v>
      </c>
      <c r="DF61" s="21">
        <f t="shared" ca="1" si="90"/>
        <v>1.7857142857142873E-2</v>
      </c>
      <c r="DG61" s="21">
        <f t="shared" ca="1" si="91"/>
        <v>3.3730158730158756E-2</v>
      </c>
      <c r="DH61" s="21">
        <f t="shared" ca="1" si="92"/>
        <v>6.0714285714285762E-2</v>
      </c>
      <c r="DI61" s="21">
        <f t="shared" ca="1" si="93"/>
        <v>0.10119047619047628</v>
      </c>
      <c r="DJ61" s="21">
        <f t="shared" ca="1" si="94"/>
        <v>0.15178571428571441</v>
      </c>
      <c r="DL61" s="16" cm="1">
        <f t="array" aca="1" ref="DL61" ca="1">MAX(_xlfn._xlws.FILTER(CW61:DJ61,CW61:DJ61&lt;BU61))</f>
        <v>-3.3730158730158756E-2</v>
      </c>
      <c r="DM61" s="16" cm="1">
        <f t="array" aca="1" ref="DM61" ca="1">MIN(_xlfn._xlws.FILTER(CW61:DJ61,CW61:DJ61&gt;BU61))</f>
        <v>-1.7857142857142873E-2</v>
      </c>
      <c r="DN61" s="2" cm="1">
        <f t="array" aca="1" ref="DN61" ca="1">_FV(EC61,"Fechamento anterior",TRUE)</f>
        <v>8.4600000000000009</v>
      </c>
      <c r="DO61" s="28">
        <f t="shared" ca="1" si="15"/>
        <v>0.71010638297871498</v>
      </c>
      <c r="DP61" s="15">
        <f t="shared" ca="1" si="95"/>
        <v>8.1746428571428584</v>
      </c>
      <c r="DQ61" s="15">
        <f t="shared" ca="1" si="96"/>
        <v>8.3089285714285719</v>
      </c>
      <c r="DR61" s="9"/>
      <c r="DS61" s="9"/>
      <c r="DT61" s="9"/>
      <c r="DU61" s="89">
        <v>8.421504146411218E-3</v>
      </c>
      <c r="DV61" s="89">
        <f t="shared" ca="1" si="18"/>
        <v>1.5873015873015883E-2</v>
      </c>
      <c r="DW61" s="72">
        <f t="shared" ca="1" si="19"/>
        <v>0.22844032950084156</v>
      </c>
      <c r="DX61" s="37"/>
      <c r="DY61" s="35">
        <f t="shared" si="39"/>
        <v>0.4049197451347612</v>
      </c>
      <c r="DZ61" s="56"/>
      <c r="EA61" s="56"/>
      <c r="EC61" s="2" t="e" vm="61">
        <v>#VALUE!</v>
      </c>
      <c r="EE61" s="10" cm="1">
        <f t="array" aca="1" ref="EE61" ca="1">_FV(EC61,"Ações em circulação",TRUE)</f>
        <v>103538800</v>
      </c>
      <c r="EF61" s="18">
        <f>VLOOKUP(BP61,Fundamentus!A:U,5,FALSE)</f>
        <v>0.47699999999999998</v>
      </c>
      <c r="EG61" s="2">
        <f t="shared" ca="1" si="20"/>
        <v>1795106658.2809224</v>
      </c>
      <c r="EH61" s="17">
        <v>141813426.00419286</v>
      </c>
      <c r="EI61" s="17">
        <f t="shared" ca="1" si="21"/>
        <v>141813426.00419286</v>
      </c>
      <c r="EK61" s="16">
        <f t="shared" ca="1" si="22"/>
        <v>0</v>
      </c>
      <c r="EL61" s="32" t="str">
        <f>IF(VLOOKUP(BP61,Fundamentus!A:U,3,FALSE)&lt;15,"Bom",IF(VLOOKUP(BP61,Fundamentus!A:U,3,FALSE)&gt;15,"Ruim","n/a"))</f>
        <v>Bom</v>
      </c>
      <c r="EM61" s="28" t="str">
        <f>IF(VLOOKUP(BP61,Fundamentus!A:U,4,FALSE)&lt;1,"Baixo",IF(VLOOKUP(BP61,Fundamentus!A:U,4,FALSE)&lt;1.5,"Moderado",IF(VLOOKUP(BP61,Fundamentus!A:U,4,FALSE)&gt;1.5,"Alto","n/a")))</f>
        <v>Baixo</v>
      </c>
      <c r="EN61" s="17" t="str">
        <f>IF(VLOOKUP(BP61,Fundamentus!A:U,8,FALSE)&lt;0,"Risco elevado",IF(VLOOKUP(BP61,Fundamentus!A:U,8,FALSE)&lt;1,"Saudável",IF(VLOOKUP(BP61,Fundamentus!A:U,8,FALSE)&lt;3,"Estável",IF(VLOOKUP(BP61,Fundamentus!A:U,8,FALSE)&gt;3,"Alerta","n/a"))))</f>
        <v>Estável</v>
      </c>
      <c r="EO61" s="28" t="str">
        <f t="shared" si="23"/>
        <v>Ruim</v>
      </c>
      <c r="EP61" s="17" t="str">
        <f>IF(VLOOKUP(BP61,Fundamentus!A:U,12,FALSE)&lt;2,"Subvalorizada",IF(VLOOKUP(BP61,Fundamentus!A:U,12,FALSE)&lt;6,"Muita barata",IF(VLOOKUP(BP61,Fundamentus!A:U,12,FALSE)&lt;6,"Barata",IF(VLOOKUP(BP61,Fundamentus!A:U,12,FALSE)&lt;8,"Atrativa",IF(VLOOKUP(BP61,Fundamentus!A:U,12,FALSE)&gt;8,"Supervalorizada","n/a")))))</f>
        <v>Muita barata</v>
      </c>
      <c r="ER61" s="17" t="str">
        <f>IF(VLOOKUP(BP61,Fundamentus!A:U,17,FALSE)&lt;0.1,"Fraco retorno",IF(VLOOKUP(BP61,Fundamentus!A:U,17,FALSE)&gt;0.1,"Bom retorno","n/a"))</f>
        <v>Bom retorno</v>
      </c>
      <c r="ES61" s="17" t="str">
        <f>IF(VLOOKUP(BP61,Fundamentus!A:U,16,FALSE)&lt;0.1,"Ineficiente",IF(VLOOKUP(BP61,Fundamentus!A:U,16,FALSE)&gt;0.1,"Eficiente","n/a"))</f>
        <v>Eficiente</v>
      </c>
      <c r="ET61" s="33" t="str">
        <f>IF(VLOOKUP(BP61,Fundamentus!A:U,16,FALSE)&lt;0.1,"Oper. Ineficiente",IF(VLOOKUP(BP61,Fundamentus!A:U,16,FALSE)&gt;0.1,"Oper.Eficiente","n/a"))</f>
        <v>Oper.Eficiente</v>
      </c>
      <c r="EU61" s="34">
        <f>VLOOKUP(BP61,Fundamentus!A:U,14,FALSE)</f>
        <v>7.9000000000000001E-2</v>
      </c>
      <c r="EV61" s="17" t="str">
        <f>IF(VLOOKUP(BP61,Fundamentus!A:U,21,FALSE)&lt;0,"Negativo",IF(VLOOKUP(BP61,Fundamentus!A:U,21,FALSE)&lt;0.05,"Fraco",IF(VLOOKUP(BP61,Fundamentus!A:U,21,FALSE)&lt;0.1,"Bom",IF(VLOOKUP(BP61,Fundamentus!A:U,21,FALSE)&gt;0.1,"Muito bom","n/a"))))</f>
        <v>Muito bom</v>
      </c>
      <c r="EX61" s="29" t="str">
        <f>IF(VLOOKUP(BP61,Fundamentus!A:U,15,FALSE)&gt;1,"Bom",IF(VLOOKUP(BP61,Fundamentus!A:U,15,FALSE)&lt;1,"Ruim","n/a"))</f>
        <v>Bom</v>
      </c>
      <c r="EY61" s="17" t="str">
        <f>IF(VLOOKUP(BP61,Fundamentus!A:U,20,FALSE)&lt;0.5,"Baixa",IF(VLOOKUP(BP61,Fundamentus!A:U,20,FALSE)&lt;1,"Moderada",IF(VLOOKUP(BP61,Fundamentus!A:U,20,FALSE)&lt;2,"Alerta",IF(VLOOKUP(BP61,Fundamentus!A:U,20,FALSE)&gt;2,"Alta","n/a"))))</f>
        <v>Baixa</v>
      </c>
    </row>
    <row r="62" spans="1:155" s="2" customFormat="1" ht="11.25" x14ac:dyDescent="0.2">
      <c r="A62" s="4">
        <v>17.690000000000001</v>
      </c>
      <c r="B62" s="4">
        <v>16.899999999999999</v>
      </c>
      <c r="C62" s="4">
        <v>17.09</v>
      </c>
      <c r="D62" s="4">
        <v>16.96</v>
      </c>
      <c r="E62" s="4">
        <v>15.85</v>
      </c>
      <c r="F62" s="4">
        <v>15.84</v>
      </c>
      <c r="G62" s="4">
        <v>15.48</v>
      </c>
      <c r="H62" s="4">
        <v>15.18</v>
      </c>
      <c r="I62" s="4">
        <v>15.22</v>
      </c>
      <c r="J62" s="4">
        <v>15.71</v>
      </c>
      <c r="K62" s="4">
        <v>15.64</v>
      </c>
      <c r="L62" s="4">
        <v>16.420000000000002</v>
      </c>
      <c r="M62" s="4">
        <v>16.95</v>
      </c>
      <c r="N62" s="4">
        <v>17.149999999999999</v>
      </c>
      <c r="O62" s="4">
        <v>19.84</v>
      </c>
      <c r="P62" s="4">
        <v>21.23</v>
      </c>
      <c r="Q62" s="4">
        <v>22.17</v>
      </c>
      <c r="R62" s="4">
        <v>22.75</v>
      </c>
      <c r="S62" s="4">
        <v>22.89</v>
      </c>
      <c r="T62" s="4">
        <v>24.24</v>
      </c>
      <c r="U62" s="4">
        <v>23.5</v>
      </c>
      <c r="V62" s="4">
        <v>22.99</v>
      </c>
      <c r="W62" s="4">
        <v>23.19</v>
      </c>
      <c r="X62" s="4">
        <v>21.29</v>
      </c>
      <c r="Y62" s="4">
        <v>22.36</v>
      </c>
      <c r="Z62" s="4">
        <v>22.87</v>
      </c>
      <c r="AA62" s="4">
        <v>23.32</v>
      </c>
      <c r="AB62" s="4">
        <v>25.4</v>
      </c>
      <c r="AC62" s="4">
        <v>24.51</v>
      </c>
      <c r="AD62" s="4">
        <v>24.75</v>
      </c>
      <c r="AE62" s="4">
        <v>24.56</v>
      </c>
      <c r="AF62" s="4">
        <v>24.21</v>
      </c>
      <c r="AG62" s="4">
        <v>24.5</v>
      </c>
      <c r="AH62" s="4">
        <v>22.41</v>
      </c>
      <c r="AI62" s="4">
        <v>22.92</v>
      </c>
      <c r="AJ62" s="4">
        <v>25</v>
      </c>
      <c r="AK62" s="4">
        <v>22.83</v>
      </c>
      <c r="AL62" s="4">
        <v>22.85</v>
      </c>
      <c r="AM62" s="4">
        <v>23.33</v>
      </c>
      <c r="AN62" s="4">
        <v>23.84</v>
      </c>
      <c r="AO62" s="4">
        <v>23.9</v>
      </c>
      <c r="AP62" s="4">
        <v>24.92</v>
      </c>
      <c r="AQ62" s="4">
        <v>26</v>
      </c>
      <c r="AR62" s="4">
        <v>25.72</v>
      </c>
      <c r="AS62" s="4">
        <v>26.8</v>
      </c>
      <c r="AT62" s="4">
        <v>24.02</v>
      </c>
      <c r="AU62" s="4">
        <v>23.835000000000001</v>
      </c>
      <c r="AV62" s="4">
        <v>23.62</v>
      </c>
      <c r="AW62" s="4">
        <v>25.2</v>
      </c>
      <c r="AX62" s="4">
        <v>25.11</v>
      </c>
      <c r="AY62" s="12">
        <v>24.85</v>
      </c>
      <c r="AZ62" s="12">
        <v>24.5</v>
      </c>
      <c r="BA62" s="12">
        <v>24.75</v>
      </c>
      <c r="BB62" s="15">
        <v>23.88</v>
      </c>
      <c r="BC62" s="52">
        <v>26.17</v>
      </c>
      <c r="BD62" s="52">
        <v>27.1</v>
      </c>
      <c r="BE62" s="52">
        <v>26.96</v>
      </c>
      <c r="BF62" s="52">
        <v>25.93</v>
      </c>
      <c r="BG62" s="67">
        <v>25.39</v>
      </c>
      <c r="BH62" s="52">
        <v>25.56</v>
      </c>
      <c r="BI62" s="52">
        <v>25.13</v>
      </c>
      <c r="BJ62" s="52">
        <v>24.96</v>
      </c>
      <c r="BK62" s="52">
        <v>23.34</v>
      </c>
      <c r="BL62" s="52">
        <v>22.18</v>
      </c>
      <c r="BM62" s="52">
        <v>22.09</v>
      </c>
      <c r="BN62" s="52">
        <v>22.02</v>
      </c>
      <c r="BO62" s="52" cm="1">
        <f t="array" aca="1" ref="BO62" ca="1">_FV(EC62,"Preço")</f>
        <v>22.02</v>
      </c>
      <c r="BP62" s="69" t="s">
        <v>59</v>
      </c>
      <c r="BQ62" s="36" cm="1">
        <f t="array" aca="1" ref="BQ62" ca="1">_FV(EC62,"Média de volume",TRUE)</f>
        <v>218860</v>
      </c>
      <c r="BR62" s="36">
        <v>245400</v>
      </c>
      <c r="BS62" s="36" cm="1">
        <f t="array" aca="1" ref="BS62" ca="1">_FV(EC62,"Volume")</f>
        <v>245400</v>
      </c>
      <c r="BT62" s="24" cm="1">
        <f t="array" aca="1" ref="BT62" ca="1">_FV(EC62,"Beta")</f>
        <v>1.3633999999999999</v>
      </c>
      <c r="BU62" s="71" cm="1">
        <f t="array" aca="1" ref="BU62" ca="1">_FV(EC62,"Variação (%)",TRUE)</f>
        <v>0</v>
      </c>
      <c r="BW62" s="17" cm="1">
        <f t="array" aca="1" ref="BW62" ca="1">_FV(EC62,"Baixo")</f>
        <v>21.86</v>
      </c>
      <c r="BX62" s="17" cm="1">
        <f t="array" aca="1" ref="BX62" ca="1">_FV(EC62,"Alto")</f>
        <v>22.4</v>
      </c>
      <c r="BY62" s="24"/>
      <c r="BZ62" s="63">
        <f ca="1">SQRT(22.5*(BO62/VLOOKUP(BP62,Fundamentus!A:U,3,FALSE))*(BO62/VLOOKUP(BP62,Fundamentus!A:U,4,FALSE)))</f>
        <v>41.953555659477736</v>
      </c>
      <c r="CB62" s="62">
        <f t="shared" ca="1" si="24"/>
        <v>0</v>
      </c>
      <c r="CC62" s="8"/>
      <c r="CD62" s="61">
        <f t="shared" si="25"/>
        <v>15.18</v>
      </c>
      <c r="CE62" s="61">
        <f t="shared" si="26"/>
        <v>27.1</v>
      </c>
      <c r="CF62" s="61">
        <f t="shared" si="27"/>
        <v>22.36007575757576</v>
      </c>
      <c r="CG62" s="14"/>
      <c r="CH62" s="35">
        <f t="shared" si="1"/>
        <v>19.13500353982576</v>
      </c>
      <c r="CI62" s="15">
        <f t="shared" si="28"/>
        <v>21.394999999999982</v>
      </c>
      <c r="CJ62" s="35">
        <f t="shared" si="2"/>
        <v>23.654996460174203</v>
      </c>
      <c r="CL62" s="14"/>
      <c r="CM62" s="17">
        <f t="shared" si="3"/>
        <v>3.846666666666664</v>
      </c>
      <c r="CN62" s="17">
        <f t="shared" si="4"/>
        <v>9.5133333333333319</v>
      </c>
      <c r="CO62" s="17">
        <f t="shared" si="5"/>
        <v>15.766666666666666</v>
      </c>
      <c r="CP62" s="38">
        <f t="shared" si="29"/>
        <v>21.433333333333334</v>
      </c>
      <c r="CQ62" s="17">
        <f t="shared" si="6"/>
        <v>27.686666666666667</v>
      </c>
      <c r="CR62" s="17">
        <f t="shared" si="7"/>
        <v>33.353333333333339</v>
      </c>
      <c r="CS62" s="17">
        <f t="shared" si="8"/>
        <v>39.606666666666669</v>
      </c>
      <c r="CT62" s="2" cm="1">
        <f t="array" aca="1" ref="CT62" ca="1">MAX(_xlfn._xlws.FILTER(CM62:CS62,CM62:CS62&lt;BO62))</f>
        <v>21.433333333333334</v>
      </c>
      <c r="CU62" s="2" cm="1">
        <f t="array" aca="1" ref="CU62" ca="1">MIN(_xlfn._xlws.FILTER($CM62:$CS62,$CM62:$CS62&gt;BO62))</f>
        <v>27.686666666666667</v>
      </c>
      <c r="CV62" s="16">
        <f t="shared" ca="1" si="80"/>
        <v>0.29175738724727851</v>
      </c>
      <c r="CW62" s="20">
        <f t="shared" ca="1" si="81"/>
        <v>-0.14587869362363926</v>
      </c>
      <c r="CX62" s="20">
        <f t="shared" ca="1" si="82"/>
        <v>-9.7252462415759508E-2</v>
      </c>
      <c r="CY62" s="20">
        <f t="shared" ca="1" si="83"/>
        <v>-5.8351477449455701E-2</v>
      </c>
      <c r="CZ62" s="20">
        <f t="shared" ca="1" si="84"/>
        <v>-3.2417487471919831E-2</v>
      </c>
      <c r="DA62" s="20">
        <f t="shared" ca="1" si="85"/>
        <v>-1.7162199249839912E-2</v>
      </c>
      <c r="DB62" s="20">
        <f t="shared" ca="1" si="86"/>
        <v>-8.8411329468872282E-3</v>
      </c>
      <c r="DC62" s="20">
        <f t="shared" ca="1" si="87"/>
        <v>-4.4885751884196695E-3</v>
      </c>
      <c r="DD62" s="21">
        <f t="shared" ca="1" si="88"/>
        <v>4.4885751884196695E-3</v>
      </c>
      <c r="DE62" s="21">
        <f t="shared" ca="1" si="89"/>
        <v>8.8411329468872282E-3</v>
      </c>
      <c r="DF62" s="21">
        <f t="shared" ca="1" si="90"/>
        <v>1.7162199249839912E-2</v>
      </c>
      <c r="DG62" s="21">
        <f t="shared" ca="1" si="91"/>
        <v>3.2417487471919831E-2</v>
      </c>
      <c r="DH62" s="21">
        <f t="shared" ca="1" si="92"/>
        <v>5.8351477449455701E-2</v>
      </c>
      <c r="DI62" s="21">
        <f t="shared" ca="1" si="93"/>
        <v>9.7252462415759508E-2</v>
      </c>
      <c r="DJ62" s="21">
        <f t="shared" ca="1" si="94"/>
        <v>0.14587869362363926</v>
      </c>
      <c r="DL62" s="16" cm="1">
        <f t="array" aca="1" ref="DL62" ca="1">MAX(_xlfn._xlws.FILTER(CW62:DJ62,CW62:DJ62&lt;BU62))</f>
        <v>-4.4885751884196695E-3</v>
      </c>
      <c r="DM62" s="16" cm="1">
        <f t="array" aca="1" ref="DM62" ca="1">MIN(_xlfn._xlws.FILTER(CW62:DJ62,CW62:DJ62&gt;BU62))</f>
        <v>4.4885751884196695E-3</v>
      </c>
      <c r="DN62" s="2" cm="1">
        <f t="array" aca="1" ref="DN62" ca="1">_FV(EC62,"Fechamento anterior",TRUE)</f>
        <v>22.02</v>
      </c>
      <c r="DO62" s="28">
        <f t="shared" ca="1" si="15"/>
        <v>0.5</v>
      </c>
      <c r="DP62" s="15">
        <f t="shared" ca="1" si="95"/>
        <v>21.921161574351</v>
      </c>
      <c r="DQ62" s="15">
        <f t="shared" ca="1" si="96"/>
        <v>22.118838425648999</v>
      </c>
      <c r="DR62" s="9"/>
      <c r="DS62" s="9"/>
      <c r="DT62" s="9"/>
      <c r="DU62" s="89">
        <v>8.3712045165568617E-3</v>
      </c>
      <c r="DV62" s="89">
        <f t="shared" ca="1" si="18"/>
        <v>8.977150376839339E-3</v>
      </c>
      <c r="DW62" s="72">
        <f t="shared" ca="1" si="19"/>
        <v>0.27654910572374836</v>
      </c>
      <c r="DX62" s="37"/>
      <c r="DY62" s="35">
        <f t="shared" si="39"/>
        <v>1.1299982300871099</v>
      </c>
      <c r="DZ62" s="56"/>
      <c r="EA62" s="56"/>
      <c r="EC62" s="2" t="e" vm="62">
        <v>#VALUE!</v>
      </c>
      <c r="EE62" s="10" cm="1">
        <f t="array" aca="1" ref="EE62" ca="1">_FV(EC62,"Ações em circulação",TRUE)</f>
        <v>81836380</v>
      </c>
      <c r="EF62" s="18">
        <f>VLOOKUP(BP62,Fundamentus!A:U,5,FALSE)</f>
        <v>0.83499999999999996</v>
      </c>
      <c r="EG62" s="2">
        <f t="shared" ca="1" si="20"/>
        <v>2158128248.6227546</v>
      </c>
      <c r="EH62" s="17">
        <v>302353767.63204789</v>
      </c>
      <c r="EI62" s="17">
        <f t="shared" ca="1" si="21"/>
        <v>302353767.63204789</v>
      </c>
      <c r="EK62" s="16">
        <f t="shared" ca="1" si="22"/>
        <v>0</v>
      </c>
      <c r="EL62" s="32" t="str">
        <f>IF(VLOOKUP(BP62,Fundamentus!A:U,3,FALSE)&lt;15,"Bom",IF(VLOOKUP(BP62,Fundamentus!A:U,3,FALSE)&gt;15,"Ruim","n/a"))</f>
        <v>Bom</v>
      </c>
      <c r="EM62" s="28" t="str">
        <f>IF(VLOOKUP(BP62,Fundamentus!A:U,4,FALSE)&lt;1,"Baixo",IF(VLOOKUP(BP62,Fundamentus!A:U,4,FALSE)&lt;1.5,"Moderado",IF(VLOOKUP(BP62,Fundamentus!A:U,4,FALSE)&gt;1.5,"Alto","n/a")))</f>
        <v>Moderado</v>
      </c>
      <c r="EN62" s="17" t="str">
        <f>IF(VLOOKUP(BP62,Fundamentus!A:U,8,FALSE)&lt;0,"Risco elevado",IF(VLOOKUP(BP62,Fundamentus!A:U,8,FALSE)&lt;1,"Saudável",IF(VLOOKUP(BP62,Fundamentus!A:U,8,FALSE)&lt;3,"Estável",IF(VLOOKUP(BP62,Fundamentus!A:U,8,FALSE)&gt;3,"Alerta","n/a"))))</f>
        <v>Estável</v>
      </c>
      <c r="EO62" s="28" t="str">
        <f t="shared" si="23"/>
        <v>Ruim</v>
      </c>
      <c r="EP62" s="17" t="str">
        <f>IF(VLOOKUP(BP62,Fundamentus!A:U,12,FALSE)&lt;2,"Subvalorizada",IF(VLOOKUP(BP62,Fundamentus!A:U,12,FALSE)&lt;6,"Muita barata",IF(VLOOKUP(BP62,Fundamentus!A:U,12,FALSE)&lt;6,"Barata",IF(VLOOKUP(BP62,Fundamentus!A:U,12,FALSE)&lt;8,"Atrativa",IF(VLOOKUP(BP62,Fundamentus!A:U,12,FALSE)&gt;8,"Supervalorizada","n/a")))))</f>
        <v>Muita barata</v>
      </c>
      <c r="ER62" s="17" t="str">
        <f>IF(VLOOKUP(BP62,Fundamentus!A:U,17,FALSE)&lt;0.1,"Fraco retorno",IF(VLOOKUP(BP62,Fundamentus!A:U,17,FALSE)&gt;0.1,"Bom retorno","n/a"))</f>
        <v>Bom retorno</v>
      </c>
      <c r="ES62" s="17" t="str">
        <f>IF(VLOOKUP(BP62,Fundamentus!A:U,16,FALSE)&lt;0.1,"Ineficiente",IF(VLOOKUP(BP62,Fundamentus!A:U,16,FALSE)&gt;0.1,"Eficiente","n/a"))</f>
        <v>Eficiente</v>
      </c>
      <c r="ET62" s="33" t="str">
        <f>IF(VLOOKUP(BP62,Fundamentus!A:U,16,FALSE)&lt;0.1,"Oper. Ineficiente",IF(VLOOKUP(BP62,Fundamentus!A:U,16,FALSE)&gt;0.1,"Oper.Eficiente","n/a"))</f>
        <v>Oper.Eficiente</v>
      </c>
      <c r="EU62" s="34">
        <f>VLOOKUP(BP62,Fundamentus!A:U,14,FALSE)</f>
        <v>0.1401</v>
      </c>
      <c r="EV62" s="17" t="str">
        <f>IF(VLOOKUP(BP62,Fundamentus!A:U,21,FALSE)&lt;0,"Negativo",IF(VLOOKUP(BP62,Fundamentus!A:U,21,FALSE)&lt;0.05,"Fraco",IF(VLOOKUP(BP62,Fundamentus!A:U,21,FALSE)&lt;0.1,"Bom",IF(VLOOKUP(BP62,Fundamentus!A:U,21,FALSE)&gt;0.1,"Muito bom","n/a"))))</f>
        <v>Fraco</v>
      </c>
      <c r="EX62" s="29" t="str">
        <f>IF(VLOOKUP(BP62,Fundamentus!A:U,15,FALSE)&gt;1,"Bom",IF(VLOOKUP(BP62,Fundamentus!A:U,15,FALSE)&lt;1,"Ruim","n/a"))</f>
        <v>Bom</v>
      </c>
      <c r="EY62" s="17" t="str">
        <f>IF(VLOOKUP(BP62,Fundamentus!A:U,20,FALSE)&lt;0.5,"Baixa",IF(VLOOKUP(BP62,Fundamentus!A:U,20,FALSE)&lt;1,"Moderada",IF(VLOOKUP(BP62,Fundamentus!A:U,20,FALSE)&lt;2,"Alerta",IF(VLOOKUP(BP62,Fundamentus!A:U,20,FALSE)&gt;2,"Alta","n/a"))))</f>
        <v>Baixa</v>
      </c>
    </row>
    <row r="63" spans="1:155" s="2" customFormat="1" ht="11.25" x14ac:dyDescent="0.2">
      <c r="A63" s="4">
        <v>2.69</v>
      </c>
      <c r="B63" s="4">
        <v>2.59</v>
      </c>
      <c r="C63" s="4">
        <v>2.56</v>
      </c>
      <c r="D63" s="4">
        <v>2.5299999999999998</v>
      </c>
      <c r="E63" s="4">
        <v>2.5299999999999998</v>
      </c>
      <c r="F63" s="4">
        <v>2.4900000000000002</v>
      </c>
      <c r="G63" s="4">
        <v>2.62</v>
      </c>
      <c r="H63" s="4">
        <v>2.81</v>
      </c>
      <c r="I63" s="4">
        <v>2.5499999999999998</v>
      </c>
      <c r="J63" s="4">
        <v>2.57</v>
      </c>
      <c r="K63" s="4">
        <v>2.93</v>
      </c>
      <c r="L63" s="4">
        <v>2.72</v>
      </c>
      <c r="M63" s="4">
        <v>2.62</v>
      </c>
      <c r="N63" s="4">
        <v>2.7</v>
      </c>
      <c r="O63" s="4">
        <v>2.36</v>
      </c>
      <c r="P63" s="4">
        <v>2.4</v>
      </c>
      <c r="Q63" s="4">
        <v>2.37</v>
      </c>
      <c r="R63" s="4">
        <v>2.37</v>
      </c>
      <c r="S63" s="4">
        <v>2.34</v>
      </c>
      <c r="T63" s="4">
        <v>2.41</v>
      </c>
      <c r="U63" s="4">
        <v>2.5</v>
      </c>
      <c r="V63" s="4">
        <v>2.7</v>
      </c>
      <c r="W63" s="4">
        <v>2.61</v>
      </c>
      <c r="X63" s="4">
        <v>2.5099999999999998</v>
      </c>
      <c r="Y63" s="4">
        <v>2.59</v>
      </c>
      <c r="Z63" s="4">
        <v>2.52</v>
      </c>
      <c r="AA63" s="4">
        <v>2.5</v>
      </c>
      <c r="AB63" s="4">
        <v>2.4300000000000002</v>
      </c>
      <c r="AC63" s="4">
        <v>2.44</v>
      </c>
      <c r="AD63" s="4">
        <v>2.29</v>
      </c>
      <c r="AE63" s="4">
        <v>2.39</v>
      </c>
      <c r="AF63" s="4">
        <v>2.2799999999999998</v>
      </c>
      <c r="AG63" s="4">
        <v>2.25</v>
      </c>
      <c r="AH63" s="4">
        <v>1.91</v>
      </c>
      <c r="AI63" s="4">
        <v>1.86</v>
      </c>
      <c r="AJ63" s="4">
        <v>1.75</v>
      </c>
      <c r="AK63" s="4">
        <v>1.89</v>
      </c>
      <c r="AL63" s="4">
        <v>2.35</v>
      </c>
      <c r="AM63" s="4">
        <v>2.2000000000000002</v>
      </c>
      <c r="AN63" s="4">
        <v>2.29</v>
      </c>
      <c r="AO63" s="4">
        <v>2.37</v>
      </c>
      <c r="AP63" s="4">
        <v>2.2999999999999998</v>
      </c>
      <c r="AQ63" s="4">
        <v>2.2000000000000002</v>
      </c>
      <c r="AR63" s="4">
        <v>2.14</v>
      </c>
      <c r="AS63" s="4">
        <v>2.23</v>
      </c>
      <c r="AT63" s="4">
        <v>2.2000000000000002</v>
      </c>
      <c r="AU63" s="4">
        <v>2.29</v>
      </c>
      <c r="AV63" s="4">
        <v>2.27</v>
      </c>
      <c r="AW63" s="4">
        <v>2.2599999999999998</v>
      </c>
      <c r="AX63" s="4">
        <v>2.2000000000000002</v>
      </c>
      <c r="AY63" s="12">
        <v>2.17</v>
      </c>
      <c r="AZ63" s="12">
        <v>2.04</v>
      </c>
      <c r="BA63" s="12">
        <v>2.04</v>
      </c>
      <c r="BB63" s="15">
        <v>1.98</v>
      </c>
      <c r="BC63" s="52">
        <v>2</v>
      </c>
      <c r="BD63" s="52">
        <v>1.98</v>
      </c>
      <c r="BE63" s="52">
        <v>1.96</v>
      </c>
      <c r="BF63" s="52">
        <v>2.0299999999999998</v>
      </c>
      <c r="BG63" s="67">
        <v>1.96</v>
      </c>
      <c r="BH63" s="52">
        <v>1.93</v>
      </c>
      <c r="BI63" s="52">
        <v>1.94</v>
      </c>
      <c r="BJ63" s="52">
        <v>1.95</v>
      </c>
      <c r="BK63" s="52">
        <v>1.98</v>
      </c>
      <c r="BL63" s="52">
        <v>1.94</v>
      </c>
      <c r="BM63" s="52">
        <v>1.95</v>
      </c>
      <c r="BN63" s="52">
        <v>2.04</v>
      </c>
      <c r="BO63" s="52" cm="1">
        <f t="array" aca="1" ref="BO63" ca="1">_FV(EC63,"Preço")</f>
        <v>2.04</v>
      </c>
      <c r="BP63" s="69" t="s">
        <v>60</v>
      </c>
      <c r="BQ63" s="36" cm="1">
        <f t="array" aca="1" ref="BQ63" ca="1">_FV(EC63,"Média de volume",TRUE)</f>
        <v>15930</v>
      </c>
      <c r="BR63" s="36">
        <v>100</v>
      </c>
      <c r="BS63" s="36" cm="1">
        <f t="array" aca="1" ref="BS63" ca="1">_FV(EC63,"Volume")</f>
        <v>100</v>
      </c>
      <c r="BT63" s="24" cm="1">
        <f t="array" aca="1" ref="BT63" ca="1">_FV(EC63,"Beta")</f>
        <v>1.0255000000000001</v>
      </c>
      <c r="BU63" s="71" cm="1">
        <f t="array" aca="1" ref="BU63" ca="1">_FV(EC63,"Variação (%)",TRUE)</f>
        <v>7.3683999999999999E-2</v>
      </c>
      <c r="BW63" s="17" cm="1">
        <f t="array" aca="1" ref="BW63" ca="1">_FV(EC63,"Baixo")</f>
        <v>2.04</v>
      </c>
      <c r="BX63" s="17" cm="1">
        <f t="array" aca="1" ref="BX63" ca="1">_FV(EC63,"Alto")</f>
        <v>2.04</v>
      </c>
      <c r="BY63" s="24"/>
      <c r="BZ63" s="63" t="e">
        <f ca="1">SQRT(22.5*(BO63/VLOOKUP(BP63,Fundamentus!A:U,3,FALSE))*(BO63/VLOOKUP(BP63,Fundamentus!A:U,4,FALSE)))</f>
        <v>#NUM!</v>
      </c>
      <c r="CB63" s="62">
        <f t="shared" ca="1" si="24"/>
        <v>0</v>
      </c>
      <c r="CC63" s="8"/>
      <c r="CD63" s="61">
        <f t="shared" si="25"/>
        <v>1.75</v>
      </c>
      <c r="CE63" s="61">
        <f t="shared" si="26"/>
        <v>2.93</v>
      </c>
      <c r="CF63" s="61">
        <f t="shared" si="27"/>
        <v>2.2995454545454543</v>
      </c>
      <c r="CG63" s="14"/>
      <c r="CH63" s="35">
        <f t="shared" si="1"/>
        <v>1.9518973324700173</v>
      </c>
      <c r="CI63" s="15">
        <f t="shared" si="28"/>
        <v>2.0250000000000057</v>
      </c>
      <c r="CJ63" s="35">
        <f t="shared" si="2"/>
        <v>2.0981026675299939</v>
      </c>
      <c r="CL63" s="14"/>
      <c r="CM63" s="17">
        <f t="shared" si="3"/>
        <v>0.36999999999999922</v>
      </c>
      <c r="CN63" s="17">
        <f t="shared" si="4"/>
        <v>1.0599999999999996</v>
      </c>
      <c r="CO63" s="17">
        <f t="shared" si="5"/>
        <v>1.5499999999999994</v>
      </c>
      <c r="CP63" s="38">
        <f t="shared" si="29"/>
        <v>2.2399999999999998</v>
      </c>
      <c r="CQ63" s="17">
        <f t="shared" si="6"/>
        <v>2.7299999999999995</v>
      </c>
      <c r="CR63" s="17">
        <f t="shared" si="7"/>
        <v>3.42</v>
      </c>
      <c r="CS63" s="17">
        <f t="shared" si="8"/>
        <v>3.9099999999999997</v>
      </c>
      <c r="CT63" s="2" cm="1">
        <f t="array" aca="1" ref="CT63" ca="1">MAX(_xlfn._xlws.FILTER(CM63:CS63,CM63:CS63&lt;BO63))</f>
        <v>1.5499999999999994</v>
      </c>
      <c r="CU63" s="2" cm="1">
        <f t="array" aca="1" ref="CU63" ca="1">MIN(_xlfn._xlws.FILTER($CM63:$CS63,$CM63:$CS63&gt;BO63))</f>
        <v>2.2399999999999998</v>
      </c>
      <c r="CV63" s="16">
        <f t="shared" ca="1" si="80"/>
        <v>0.445161290322581</v>
      </c>
      <c r="CW63" s="20">
        <f t="shared" ca="1" si="81"/>
        <v>-0.2225806451612905</v>
      </c>
      <c r="CX63" s="20">
        <f t="shared" ca="1" si="82"/>
        <v>-0.14838709677419368</v>
      </c>
      <c r="CY63" s="20">
        <f t="shared" ca="1" si="83"/>
        <v>-8.9032258064516201E-2</v>
      </c>
      <c r="CZ63" s="20">
        <f t="shared" ca="1" si="84"/>
        <v>-4.946236559139789E-2</v>
      </c>
      <c r="DA63" s="20">
        <f t="shared" ca="1" si="85"/>
        <v>-2.6185958254269472E-2</v>
      </c>
      <c r="DB63" s="20">
        <f t="shared" ca="1" si="86"/>
        <v>-1.3489736070381243E-2</v>
      </c>
      <c r="DC63" s="20">
        <f t="shared" ca="1" si="87"/>
        <v>-6.8486352357320151E-3</v>
      </c>
      <c r="DD63" s="21">
        <f t="shared" ca="1" si="88"/>
        <v>6.8486352357320151E-3</v>
      </c>
      <c r="DE63" s="21">
        <f t="shared" ca="1" si="89"/>
        <v>1.3489736070381243E-2</v>
      </c>
      <c r="DF63" s="21">
        <f t="shared" ca="1" si="90"/>
        <v>2.6185958254269472E-2</v>
      </c>
      <c r="DG63" s="21">
        <f t="shared" ca="1" si="91"/>
        <v>4.946236559139789E-2</v>
      </c>
      <c r="DH63" s="21">
        <f t="shared" ca="1" si="92"/>
        <v>8.9032258064516201E-2</v>
      </c>
      <c r="DI63" s="21">
        <f t="shared" ca="1" si="93"/>
        <v>0.14838709677419368</v>
      </c>
      <c r="DJ63" s="21">
        <f t="shared" ca="1" si="94"/>
        <v>0.2225806451612905</v>
      </c>
      <c r="DL63" s="16" cm="1">
        <f t="array" aca="1" ref="DL63" ca="1">MAX(_xlfn._xlws.FILTER(CW63:DJ63,CW63:DJ63&lt;BU63))</f>
        <v>4.946236559139789E-2</v>
      </c>
      <c r="DM63" s="16" cm="1">
        <f t="array" aca="1" ref="DM63" ca="1">MIN(_xlfn._xlws.FILTER(CW63:DJ63,CW63:DJ63&gt;BU63))</f>
        <v>8.9032258064516201E-2</v>
      </c>
      <c r="DN63" s="2" cm="1">
        <f t="array" aca="1" ref="DN63" ca="1">_FV(EC63,"Fechamento anterior",TRUE)</f>
        <v>1.9</v>
      </c>
      <c r="DO63" s="28">
        <f t="shared" ca="1" si="15"/>
        <v>0.61212814645308811</v>
      </c>
      <c r="DP63" s="15">
        <f t="shared" ca="1" si="95"/>
        <v>1.9939784946236558</v>
      </c>
      <c r="DQ63" s="15">
        <f t="shared" ca="1" si="96"/>
        <v>2.0691612903225809</v>
      </c>
      <c r="DR63" s="9"/>
      <c r="DS63" s="9"/>
      <c r="DT63" s="9"/>
      <c r="DU63" s="89">
        <v>2.5497539839906016E-2</v>
      </c>
      <c r="DV63" s="89">
        <f t="shared" ca="1" si="18"/>
        <v>3.9569892473118311E-2</v>
      </c>
      <c r="DW63" s="72">
        <f t="shared" ca="1" si="19"/>
        <v>0.20519087068664088</v>
      </c>
      <c r="DX63" s="37"/>
      <c r="DY63" s="35">
        <f t="shared" si="39"/>
        <v>3.6551333764994164E-2</v>
      </c>
      <c r="DZ63" s="56"/>
      <c r="EA63" s="56"/>
      <c r="EC63" s="2" t="e" vm="63">
        <v>#VALUE!</v>
      </c>
      <c r="EE63" s="10" cm="1">
        <f t="array" aca="1" ref="EE63" ca="1">_FV(EC63,"Ações em circulação",TRUE)</f>
        <v>11900000</v>
      </c>
      <c r="EF63" s="18">
        <f>VLOOKUP(BP63,Fundamentus!A:U,5,FALSE)</f>
        <v>0.75700000000000001</v>
      </c>
      <c r="EG63" s="2">
        <f t="shared" ca="1" si="20"/>
        <v>32068692.206076618</v>
      </c>
      <c r="EH63" s="17">
        <v>2094085.601056803</v>
      </c>
      <c r="EI63" s="17">
        <f t="shared" ca="1" si="21"/>
        <v>2094085.601056803</v>
      </c>
      <c r="EK63" s="16">
        <f t="shared" ca="1" si="22"/>
        <v>0</v>
      </c>
      <c r="EL63" s="32" t="str">
        <f>IF(VLOOKUP(BP63,Fundamentus!A:U,3,FALSE)&lt;15,"Bom",IF(VLOOKUP(BP63,Fundamentus!A:U,3,FALSE)&gt;15,"Ruim","n/a"))</f>
        <v>Bom</v>
      </c>
      <c r="EM63" s="28" t="str">
        <f>IF(VLOOKUP(BP63,Fundamentus!A:U,4,FALSE)&lt;1,"Baixo",IF(VLOOKUP(BP63,Fundamentus!A:U,4,FALSE)&lt;1.5,"Moderado",IF(VLOOKUP(BP63,Fundamentus!A:U,4,FALSE)&gt;1.5,"Alto","n/a")))</f>
        <v>Baixo</v>
      </c>
      <c r="EN63" s="17" t="str">
        <f>IF(VLOOKUP(BP63,Fundamentus!A:U,8,FALSE)&lt;0,"Risco elevado",IF(VLOOKUP(BP63,Fundamentus!A:U,8,FALSE)&lt;1,"Saudável",IF(VLOOKUP(BP63,Fundamentus!A:U,8,FALSE)&lt;3,"Estável",IF(VLOOKUP(BP63,Fundamentus!A:U,8,FALSE)&gt;3,"Alerta","n/a"))))</f>
        <v>Saudável</v>
      </c>
      <c r="EO63" s="28" t="str">
        <f t="shared" si="23"/>
        <v>Ruim</v>
      </c>
      <c r="EP63" s="17" t="str">
        <f>IF(VLOOKUP(BP63,Fundamentus!A:U,12,FALSE)&lt;2,"Subvalorizada",IF(VLOOKUP(BP63,Fundamentus!A:U,12,FALSE)&lt;6,"Muita barata",IF(VLOOKUP(BP63,Fundamentus!A:U,12,FALSE)&lt;6,"Barata",IF(VLOOKUP(BP63,Fundamentus!A:U,12,FALSE)&lt;8,"Atrativa",IF(VLOOKUP(BP63,Fundamentus!A:U,12,FALSE)&gt;8,"Supervalorizada","n/a")))))</f>
        <v>Supervalorizada</v>
      </c>
      <c r="ER63" s="17" t="str">
        <f>IF(VLOOKUP(BP63,Fundamentus!A:U,17,FALSE)&lt;0.1,"Fraco retorno",IF(VLOOKUP(BP63,Fundamentus!A:U,17,FALSE)&gt;0.1,"Bom retorno","n/a"))</f>
        <v>Fraco retorno</v>
      </c>
      <c r="ES63" s="17" t="str">
        <f>IF(VLOOKUP(BP63,Fundamentus!A:U,16,FALSE)&lt;0.1,"Ineficiente",IF(VLOOKUP(BP63,Fundamentus!A:U,16,FALSE)&gt;0.1,"Eficiente","n/a"))</f>
        <v>Ineficiente</v>
      </c>
      <c r="ET63" s="33" t="str">
        <f>IF(VLOOKUP(BP63,Fundamentus!A:U,16,FALSE)&lt;0.1,"Oper. Ineficiente",IF(VLOOKUP(BP63,Fundamentus!A:U,16,FALSE)&gt;0.1,"Oper.Eficiente","n/a"))</f>
        <v>Oper. Ineficiente</v>
      </c>
      <c r="EU63" s="34">
        <f>VLOOKUP(BP63,Fundamentus!A:U,14,FALSE)</f>
        <v>6.5299999999999997E-2</v>
      </c>
      <c r="EV63" s="17" t="str">
        <f>IF(VLOOKUP(BP63,Fundamentus!A:U,21,FALSE)&lt;0,"Negativo",IF(VLOOKUP(BP63,Fundamentus!A:U,21,FALSE)&lt;0.05,"Fraco",IF(VLOOKUP(BP63,Fundamentus!A:U,21,FALSE)&lt;0.1,"Bom",IF(VLOOKUP(BP63,Fundamentus!A:U,21,FALSE)&gt;0.1,"Muito bom","n/a"))))</f>
        <v>Negativo</v>
      </c>
      <c r="EX63" s="29" t="str">
        <f>IF(VLOOKUP(BP63,Fundamentus!A:U,15,FALSE)&gt;1,"Bom",IF(VLOOKUP(BP63,Fundamentus!A:U,15,FALSE)&lt;1,"Ruim","n/a"))</f>
        <v>Bom</v>
      </c>
      <c r="EY63" s="17" t="str">
        <f>IF(VLOOKUP(BP63,Fundamentus!A:U,20,FALSE)&lt;0.5,"Baixa",IF(VLOOKUP(BP63,Fundamentus!A:U,20,FALSE)&lt;1,"Moderada",IF(VLOOKUP(BP63,Fundamentus!A:U,20,FALSE)&lt;2,"Alerta",IF(VLOOKUP(BP63,Fundamentus!A:U,20,FALSE)&gt;2,"Alta","n/a"))))</f>
        <v>Baixa</v>
      </c>
    </row>
    <row r="64" spans="1:155" s="2" customFormat="1" ht="11.25" x14ac:dyDescent="0.2">
      <c r="A64" s="4">
        <v>33.25</v>
      </c>
      <c r="B64" s="4">
        <v>31.08</v>
      </c>
      <c r="C64" s="4">
        <v>31.5</v>
      </c>
      <c r="D64" s="4">
        <v>27.32</v>
      </c>
      <c r="E64" s="4">
        <v>28.19</v>
      </c>
      <c r="F64" s="4">
        <v>26.26</v>
      </c>
      <c r="G64" s="4">
        <v>25.9</v>
      </c>
      <c r="H64" s="4">
        <v>25.61</v>
      </c>
      <c r="I64" s="4">
        <v>27.52</v>
      </c>
      <c r="J64" s="4">
        <v>28.6</v>
      </c>
      <c r="K64" s="4">
        <v>27.6</v>
      </c>
      <c r="L64" s="4">
        <v>27.14</v>
      </c>
      <c r="M64" s="4">
        <v>25.68</v>
      </c>
      <c r="N64" s="4">
        <v>26.64</v>
      </c>
      <c r="O64" s="4">
        <v>29.48</v>
      </c>
      <c r="P64" s="4">
        <v>28.33</v>
      </c>
      <c r="Q64" s="4">
        <v>27.72</v>
      </c>
      <c r="R64" s="4">
        <v>26.37</v>
      </c>
      <c r="S64" s="4">
        <v>22.87</v>
      </c>
      <c r="T64" s="4">
        <v>22.07</v>
      </c>
      <c r="U64" s="4">
        <v>18.18</v>
      </c>
      <c r="V64" s="4">
        <v>17.78</v>
      </c>
      <c r="W64" s="4">
        <v>17.96</v>
      </c>
      <c r="X64" s="4">
        <v>17.440000000000001</v>
      </c>
      <c r="Y64" s="4">
        <v>17.25</v>
      </c>
      <c r="Z64" s="4">
        <v>17.03</v>
      </c>
      <c r="AA64" s="4">
        <v>16.600000000000001</v>
      </c>
      <c r="AB64" s="4">
        <v>16.18</v>
      </c>
      <c r="AC64" s="4">
        <v>16.649999999999999</v>
      </c>
      <c r="AD64" s="4">
        <v>19.34</v>
      </c>
      <c r="AE64" s="4">
        <v>19.88</v>
      </c>
      <c r="AF64" s="4">
        <v>21.25</v>
      </c>
      <c r="AG64" s="4">
        <v>20.14</v>
      </c>
      <c r="AH64" s="4">
        <v>19.13</v>
      </c>
      <c r="AI64" s="4">
        <v>22.57</v>
      </c>
      <c r="AJ64" s="4">
        <v>23.2</v>
      </c>
      <c r="AK64" s="4">
        <v>24.92</v>
      </c>
      <c r="AL64" s="4">
        <v>25.34</v>
      </c>
      <c r="AM64" s="4">
        <v>22.66</v>
      </c>
      <c r="AN64" s="4">
        <v>22.43</v>
      </c>
      <c r="AO64" s="4">
        <v>20.76</v>
      </c>
      <c r="AP64" s="4">
        <v>20.399999999999999</v>
      </c>
      <c r="AQ64" s="4">
        <v>19.170000000000002</v>
      </c>
      <c r="AR64" s="4">
        <v>18.010000000000002</v>
      </c>
      <c r="AS64" s="4">
        <v>17.82</v>
      </c>
      <c r="AT64" s="4">
        <v>17.71</v>
      </c>
      <c r="AU64" s="4">
        <v>19.3</v>
      </c>
      <c r="AV64" s="4">
        <v>23.1</v>
      </c>
      <c r="AW64" s="4">
        <v>18.34</v>
      </c>
      <c r="AX64" s="4">
        <v>17.260000000000002</v>
      </c>
      <c r="AY64" s="12">
        <v>18.309999999999999</v>
      </c>
      <c r="AZ64" s="12">
        <v>18.510000000000002</v>
      </c>
      <c r="BA64" s="12">
        <v>17.36</v>
      </c>
      <c r="BB64" s="15">
        <v>19.66</v>
      </c>
      <c r="BC64" s="52">
        <v>19.27</v>
      </c>
      <c r="BD64" s="52">
        <v>18.2</v>
      </c>
      <c r="BE64" s="52">
        <v>18.899999999999999</v>
      </c>
      <c r="BF64" s="52">
        <v>19.649999999999999</v>
      </c>
      <c r="BG64" s="67">
        <v>20.78</v>
      </c>
      <c r="BH64" s="52">
        <v>20.32</v>
      </c>
      <c r="BI64" s="52">
        <v>17.2</v>
      </c>
      <c r="BJ64" s="52">
        <v>17.989999999999998</v>
      </c>
      <c r="BK64" s="52">
        <v>17.79</v>
      </c>
      <c r="BL64" s="52">
        <v>18.739999999999998</v>
      </c>
      <c r="BM64" s="52">
        <v>19.510000000000002</v>
      </c>
      <c r="BN64" s="52">
        <v>19.39</v>
      </c>
      <c r="BO64" s="52" cm="1">
        <f t="array" aca="1" ref="BO64" ca="1">_FV(EC64,"Preço")</f>
        <v>19.39</v>
      </c>
      <c r="BP64" s="69" t="s">
        <v>61</v>
      </c>
      <c r="BQ64" s="36" cm="1">
        <f t="array" aca="1" ref="BQ64" ca="1">_FV(EC64,"Média de volume",TRUE)</f>
        <v>6519980</v>
      </c>
      <c r="BR64" s="36">
        <v>9675900</v>
      </c>
      <c r="BS64" s="36" cm="1">
        <f t="array" aca="1" ref="BS64" ca="1">_FV(EC64,"Volume")</f>
        <v>9675900</v>
      </c>
      <c r="BT64" s="24" cm="1">
        <f t="array" aca="1" ref="BT64" ca="1">_FV(EC64,"Beta")</f>
        <v>1.2159</v>
      </c>
      <c r="BU64" s="71" cm="1">
        <f t="array" aca="1" ref="BU64" ca="1">_FV(EC64,"Variação (%)",TRUE)</f>
        <v>-1.7729999999999999E-2</v>
      </c>
      <c r="BW64" s="17" cm="1">
        <f t="array" aca="1" ref="BW64" ca="1">_FV(EC64,"Baixo")</f>
        <v>19.21</v>
      </c>
      <c r="BX64" s="17" cm="1">
        <f t="array" aca="1" ref="BX64" ca="1">_FV(EC64,"Alto")</f>
        <v>20.32</v>
      </c>
      <c r="BY64" s="24"/>
      <c r="BZ64" s="63">
        <f ca="1">SQRT(22.5*(BO64/VLOOKUP(BP64,Fundamentus!A:U,3,FALSE))*(BO64/VLOOKUP(BP64,Fundamentus!A:U,4,FALSE)))</f>
        <v>13.572758708656639</v>
      </c>
      <c r="CB64" s="62">
        <f t="shared" ca="1" si="24"/>
        <v>0</v>
      </c>
      <c r="CC64" s="8"/>
      <c r="CD64" s="61">
        <f t="shared" si="25"/>
        <v>16.18</v>
      </c>
      <c r="CE64" s="61">
        <f t="shared" si="26"/>
        <v>33.25</v>
      </c>
      <c r="CF64" s="61">
        <f t="shared" si="27"/>
        <v>21.795606060606062</v>
      </c>
      <c r="CG64" s="14"/>
      <c r="CH64" s="35">
        <f t="shared" si="1"/>
        <v>18.845800583962518</v>
      </c>
      <c r="CI64" s="15">
        <f t="shared" si="28"/>
        <v>20.25</v>
      </c>
      <c r="CJ64" s="35">
        <f t="shared" si="2"/>
        <v>21.654199416037482</v>
      </c>
      <c r="CL64" s="14"/>
      <c r="CM64" s="17">
        <f t="shared" si="3"/>
        <v>-4.4400000000000048</v>
      </c>
      <c r="CN64" s="17">
        <f t="shared" si="4"/>
        <v>5.8699999999999974</v>
      </c>
      <c r="CO64" s="17">
        <f t="shared" si="5"/>
        <v>12.629999999999995</v>
      </c>
      <c r="CP64" s="38">
        <f t="shared" si="29"/>
        <v>22.939999999999998</v>
      </c>
      <c r="CQ64" s="17">
        <f t="shared" si="6"/>
        <v>29.699999999999996</v>
      </c>
      <c r="CR64" s="17">
        <f t="shared" si="7"/>
        <v>40.01</v>
      </c>
      <c r="CS64" s="17">
        <f t="shared" si="8"/>
        <v>46.769999999999996</v>
      </c>
      <c r="CT64" s="2" cm="1">
        <f t="array" aca="1" ref="CT64" ca="1">MAX(_xlfn._xlws.FILTER(CM64:CS64,CM64:CS64&lt;BO64))</f>
        <v>12.629999999999995</v>
      </c>
      <c r="CU64" s="2" cm="1">
        <f t="array" aca="1" ref="CU64" ca="1">MIN(_xlfn._xlws.FILTER($CM64:$CS64,$CM64:$CS64&gt;BO64))</f>
        <v>22.939999999999998</v>
      </c>
      <c r="CV64" s="16">
        <f t="shared" ca="1" si="80"/>
        <v>0.81631037212985014</v>
      </c>
      <c r="CW64" s="20">
        <f t="shared" ca="1" si="81"/>
        <v>-0.40815518606492507</v>
      </c>
      <c r="CX64" s="20">
        <f t="shared" ca="1" si="82"/>
        <v>-0.27210345737661673</v>
      </c>
      <c r="CY64" s="20">
        <f t="shared" ca="1" si="83"/>
        <v>-0.16326207442597002</v>
      </c>
      <c r="CZ64" s="20">
        <f t="shared" ca="1" si="84"/>
        <v>-9.0701152458872239E-2</v>
      </c>
      <c r="DA64" s="20">
        <f t="shared" ca="1" si="85"/>
        <v>-4.8018257184108834E-2</v>
      </c>
      <c r="DB64" s="20">
        <f t="shared" ca="1" si="86"/>
        <v>-2.4736677943328792E-2</v>
      </c>
      <c r="DC64" s="20">
        <f t="shared" ca="1" si="87"/>
        <v>-1.2558621109690003E-2</v>
      </c>
      <c r="DD64" s="21">
        <f t="shared" ca="1" si="88"/>
        <v>1.2558621109690003E-2</v>
      </c>
      <c r="DE64" s="21">
        <f t="shared" ca="1" si="89"/>
        <v>2.4736677943328792E-2</v>
      </c>
      <c r="DF64" s="21">
        <f t="shared" ca="1" si="90"/>
        <v>4.8018257184108834E-2</v>
      </c>
      <c r="DG64" s="21">
        <f t="shared" ca="1" si="91"/>
        <v>9.0701152458872239E-2</v>
      </c>
      <c r="DH64" s="21">
        <f t="shared" ca="1" si="92"/>
        <v>0.16326207442597002</v>
      </c>
      <c r="DI64" s="21">
        <f t="shared" ca="1" si="93"/>
        <v>0.27210345737661673</v>
      </c>
      <c r="DJ64" s="21">
        <f t="shared" ca="1" si="94"/>
        <v>0.40815518606492507</v>
      </c>
      <c r="DL64" s="16" cm="1">
        <f t="array" aca="1" ref="DL64" ca="1">MAX(_xlfn._xlws.FILTER(CW64:DJ64,CW64:DJ64&lt;BU64))</f>
        <v>-2.4736677943328792E-2</v>
      </c>
      <c r="DM64" s="16" cm="1">
        <f t="array" aca="1" ref="DM64" ca="1">MIN(_xlfn._xlws.FILTER(CW64:DJ64,CW64:DJ64&gt;BU64))</f>
        <v>-1.2558621109690003E-2</v>
      </c>
      <c r="DN64" s="2" cm="1">
        <f t="array" aca="1" ref="DN64" ca="1">_FV(EC64,"Fechamento anterior",TRUE)</f>
        <v>19.739999999999998</v>
      </c>
      <c r="DO64" s="28">
        <f t="shared" ca="1" si="15"/>
        <v>0.57531193893555843</v>
      </c>
      <c r="DP64" s="15">
        <f t="shared" ca="1" si="95"/>
        <v>19.251697977398688</v>
      </c>
      <c r="DQ64" s="15">
        <f t="shared" ca="1" si="96"/>
        <v>19.492092819294719</v>
      </c>
      <c r="DR64" s="9"/>
      <c r="DS64" s="9"/>
      <c r="DT64" s="9"/>
      <c r="DU64" s="89">
        <v>1.2875745917560622E-2</v>
      </c>
      <c r="DV64" s="89">
        <f t="shared" ca="1" si="18"/>
        <v>1.217805683363879E-2</v>
      </c>
      <c r="DW64" s="72">
        <f t="shared" ca="1" si="19"/>
        <v>-0.61244862387625698</v>
      </c>
      <c r="DX64" s="37"/>
      <c r="DY64" s="35">
        <f t="shared" si="39"/>
        <v>0.70209970801874111</v>
      </c>
      <c r="DZ64" s="56"/>
      <c r="EA64" s="56"/>
      <c r="EC64" s="2" t="e" vm="64">
        <v>#VALUE!</v>
      </c>
      <c r="EE64" s="10" cm="1">
        <f t="array" aca="1" ref="EE64" ca="1">_FV(EC64,"Ações em circulação",TRUE)</f>
        <v>464187500</v>
      </c>
      <c r="EF64" s="18">
        <f>VLOOKUP(BP64,Fundamentus!A:U,5,FALSE)</f>
        <v>0.92800000000000005</v>
      </c>
      <c r="EG64" s="2">
        <f t="shared" ca="1" si="20"/>
        <v>9698917699.353447</v>
      </c>
      <c r="EH64" s="17">
        <v>151303116.10991377</v>
      </c>
      <c r="EI64" s="17">
        <f t="shared" ca="1" si="21"/>
        <v>151303116.10991377</v>
      </c>
      <c r="EK64" s="16">
        <f t="shared" ca="1" si="22"/>
        <v>0</v>
      </c>
      <c r="EL64" s="32" t="str">
        <f>IF(VLOOKUP(BP64,Fundamentus!A:U,3,FALSE)&lt;15,"Bom",IF(VLOOKUP(BP64,Fundamentus!A:U,3,FALSE)&gt;15,"Ruim","n/a"))</f>
        <v>Ruim</v>
      </c>
      <c r="EM64" s="28" t="str">
        <f>IF(VLOOKUP(BP64,Fundamentus!A:U,4,FALSE)&lt;1,"Baixo",IF(VLOOKUP(BP64,Fundamentus!A:U,4,FALSE)&lt;1.5,"Moderado",IF(VLOOKUP(BP64,Fundamentus!A:U,4,FALSE)&gt;1.5,"Alto","n/a")))</f>
        <v>Baixo</v>
      </c>
      <c r="EN64" s="17" t="str">
        <f>IF(VLOOKUP(BP64,Fundamentus!A:U,8,FALSE)&lt;0,"Risco elevado",IF(VLOOKUP(BP64,Fundamentus!A:U,8,FALSE)&lt;1,"Saudável",IF(VLOOKUP(BP64,Fundamentus!A:U,8,FALSE)&lt;3,"Estável",IF(VLOOKUP(BP64,Fundamentus!A:U,8,FALSE)&gt;3,"Alerta","n/a"))))</f>
        <v>Alerta</v>
      </c>
      <c r="EO64" s="28" t="str">
        <f t="shared" si="23"/>
        <v>Ruim</v>
      </c>
      <c r="EP64" s="17" t="str">
        <f>IF(VLOOKUP(BP64,Fundamentus!A:U,12,FALSE)&lt;2,"Subvalorizada",IF(VLOOKUP(BP64,Fundamentus!A:U,12,FALSE)&lt;6,"Muita barata",IF(VLOOKUP(BP64,Fundamentus!A:U,12,FALSE)&lt;6,"Barata",IF(VLOOKUP(BP64,Fundamentus!A:U,12,FALSE)&lt;8,"Atrativa",IF(VLOOKUP(BP64,Fundamentus!A:U,12,FALSE)&gt;8,"Supervalorizada","n/a")))))</f>
        <v>Atrativa</v>
      </c>
      <c r="ER64" s="17" t="str">
        <f>IF(VLOOKUP(BP64,Fundamentus!A:U,17,FALSE)&lt;0.1,"Fraco retorno",IF(VLOOKUP(BP64,Fundamentus!A:U,17,FALSE)&gt;0.1,"Bom retorno","n/a"))</f>
        <v>Fraco retorno</v>
      </c>
      <c r="ES64" s="17" t="str">
        <f>IF(VLOOKUP(BP64,Fundamentus!A:U,16,FALSE)&lt;0.1,"Ineficiente",IF(VLOOKUP(BP64,Fundamentus!A:U,16,FALSE)&gt;0.1,"Eficiente","n/a"))</f>
        <v>Ineficiente</v>
      </c>
      <c r="ET64" s="33" t="str">
        <f>IF(VLOOKUP(BP64,Fundamentus!A:U,16,FALSE)&lt;0.1,"Oper. Ineficiente",IF(VLOOKUP(BP64,Fundamentus!A:U,16,FALSE)&gt;0.1,"Oper.Eficiente","n/a"))</f>
        <v>Oper. Ineficiente</v>
      </c>
      <c r="EU64" s="34">
        <f>VLOOKUP(BP64,Fundamentus!A:U,14,FALSE)</f>
        <v>1.5599999999999999E-2</v>
      </c>
      <c r="EV64" s="17" t="str">
        <f>IF(VLOOKUP(BP64,Fundamentus!A:U,21,FALSE)&lt;0,"Negativo",IF(VLOOKUP(BP64,Fundamentus!A:U,21,FALSE)&lt;0.05,"Fraco",IF(VLOOKUP(BP64,Fundamentus!A:U,21,FALSE)&lt;0.1,"Bom",IF(VLOOKUP(BP64,Fundamentus!A:U,21,FALSE)&gt;0.1,"Muito bom","n/a"))))</f>
        <v>Muito bom</v>
      </c>
      <c r="EX64" s="29" t="str">
        <f>IF(VLOOKUP(BP64,Fundamentus!A:U,15,FALSE)&gt;1,"Bom",IF(VLOOKUP(BP64,Fundamentus!A:U,15,FALSE)&lt;1,"Ruim","n/a"))</f>
        <v>Bom</v>
      </c>
      <c r="EY64" s="17" t="str">
        <f>IF(VLOOKUP(BP64,Fundamentus!A:U,20,FALSE)&lt;0.5,"Baixa",IF(VLOOKUP(BP64,Fundamentus!A:U,20,FALSE)&lt;1,"Moderada",IF(VLOOKUP(BP64,Fundamentus!A:U,20,FALSE)&lt;2,"Alerta",IF(VLOOKUP(BP64,Fundamentus!A:U,20,FALSE)&gt;2,"Alta","n/a"))))</f>
        <v>Alerta</v>
      </c>
    </row>
    <row r="65" spans="1:156" s="2" customFormat="1" ht="11.25" x14ac:dyDescent="0.2">
      <c r="A65" s="4">
        <v>13.86</v>
      </c>
      <c r="B65" s="4">
        <v>13.14</v>
      </c>
      <c r="C65" s="4">
        <v>13</v>
      </c>
      <c r="D65" s="4">
        <v>12.39</v>
      </c>
      <c r="E65" s="4">
        <v>11.96</v>
      </c>
      <c r="F65" s="4">
        <v>11.06</v>
      </c>
      <c r="G65" s="4">
        <v>10.210000000000001</v>
      </c>
      <c r="H65" s="4">
        <v>10.48</v>
      </c>
      <c r="I65" s="4">
        <v>10.49</v>
      </c>
      <c r="J65" s="4">
        <v>11.3</v>
      </c>
      <c r="K65" s="4">
        <v>11.52</v>
      </c>
      <c r="L65" s="4">
        <v>11.27</v>
      </c>
      <c r="M65" s="4">
        <v>11.3</v>
      </c>
      <c r="N65" s="4">
        <v>11.17</v>
      </c>
      <c r="O65" s="4">
        <v>11.2</v>
      </c>
      <c r="P65" s="4">
        <v>11.55</v>
      </c>
      <c r="Q65" s="4">
        <v>11.35</v>
      </c>
      <c r="R65" s="4">
        <v>11.01</v>
      </c>
      <c r="S65" s="4">
        <v>10.93</v>
      </c>
      <c r="T65" s="4">
        <v>11.23</v>
      </c>
      <c r="U65" s="4">
        <v>11.14</v>
      </c>
      <c r="V65" s="4">
        <v>11.1</v>
      </c>
      <c r="W65" s="4">
        <v>10.99</v>
      </c>
      <c r="X65" s="4">
        <v>10.61</v>
      </c>
      <c r="Y65" s="4">
        <v>10.44</v>
      </c>
      <c r="Z65" s="4">
        <v>10.56</v>
      </c>
      <c r="AA65" s="4">
        <v>10.199999999999999</v>
      </c>
      <c r="AB65" s="4">
        <v>10</v>
      </c>
      <c r="AC65" s="4">
        <v>10.32</v>
      </c>
      <c r="AD65" s="4">
        <v>10.199999999999999</v>
      </c>
      <c r="AE65" s="4">
        <v>9.36</v>
      </c>
      <c r="AF65" s="4">
        <v>9.19</v>
      </c>
      <c r="AG65" s="4">
        <v>8.8699999999999992</v>
      </c>
      <c r="AH65" s="4">
        <v>8.5</v>
      </c>
      <c r="AI65" s="4">
        <v>8.61</v>
      </c>
      <c r="AJ65" s="4">
        <v>8.41</v>
      </c>
      <c r="AK65" s="4">
        <v>8.17</v>
      </c>
      <c r="AL65" s="4">
        <v>8.57</v>
      </c>
      <c r="AM65" s="4">
        <v>8.8000000000000007</v>
      </c>
      <c r="AN65" s="4">
        <v>9.17</v>
      </c>
      <c r="AO65" s="4">
        <v>9.2200000000000006</v>
      </c>
      <c r="AP65" s="4">
        <v>9.48</v>
      </c>
      <c r="AQ65" s="4">
        <v>9.25</v>
      </c>
      <c r="AR65" s="4">
        <v>8.83</v>
      </c>
      <c r="AS65" s="4">
        <v>9.06</v>
      </c>
      <c r="AT65" s="4">
        <v>9.49</v>
      </c>
      <c r="AU65" s="4">
        <v>9.5</v>
      </c>
      <c r="AV65" s="4">
        <v>9.59</v>
      </c>
      <c r="AW65" s="4">
        <v>9.2799999999999994</v>
      </c>
      <c r="AX65" s="4">
        <v>9.1300000000000008</v>
      </c>
      <c r="AY65" s="12">
        <v>9.3699999999999992</v>
      </c>
      <c r="AZ65" s="12">
        <v>9.93</v>
      </c>
      <c r="BA65" s="12">
        <v>10.16</v>
      </c>
      <c r="BB65" s="15">
        <v>10.49</v>
      </c>
      <c r="BC65" s="52">
        <v>10.6</v>
      </c>
      <c r="BD65" s="52">
        <v>10.49</v>
      </c>
      <c r="BE65" s="52">
        <v>10.66</v>
      </c>
      <c r="BF65" s="52">
        <v>10.64</v>
      </c>
      <c r="BG65" s="67">
        <v>10.66</v>
      </c>
      <c r="BH65" s="52">
        <v>10.4</v>
      </c>
      <c r="BI65" s="52">
        <v>10.66</v>
      </c>
      <c r="BJ65" s="52">
        <v>11.49</v>
      </c>
      <c r="BK65" s="52">
        <v>11.25</v>
      </c>
      <c r="BL65" s="52">
        <v>11.16</v>
      </c>
      <c r="BM65" s="52">
        <v>11.09</v>
      </c>
      <c r="BN65" s="52">
        <v>11.36</v>
      </c>
      <c r="BO65" s="52" cm="1">
        <f t="array" aca="1" ref="BO65" ca="1">_FV(EC65,"Preço")</f>
        <v>11.36</v>
      </c>
      <c r="BP65" s="69" t="s">
        <v>159</v>
      </c>
      <c r="BQ65" s="36" cm="1">
        <f t="array" aca="1" ref="BQ65" ca="1">_FV(EC65,"Média de volume",TRUE)</f>
        <v>750580</v>
      </c>
      <c r="BR65" s="36">
        <v>616600</v>
      </c>
      <c r="BS65" s="36" cm="1">
        <f t="array" aca="1" ref="BS65" ca="1">_FV(EC65,"Volume")</f>
        <v>616600</v>
      </c>
      <c r="BT65" s="24" cm="1">
        <f t="array" aca="1" ref="BT65" ca="1">_FV(EC65,"Beta")</f>
        <v>1.5163</v>
      </c>
      <c r="BU65" s="71" cm="1">
        <f t="array" aca="1" ref="BU65" ca="1">_FV(EC65,"Variação (%)",TRUE)</f>
        <v>9.7780000000000002E-3</v>
      </c>
      <c r="BW65" s="17" cm="1">
        <f t="array" aca="1" ref="BW65" ca="1">_FV(EC65,"Baixo")</f>
        <v>11.2</v>
      </c>
      <c r="BX65" s="17" cm="1">
        <f t="array" aca="1" ref="BX65" ca="1">_FV(EC65,"Alto")</f>
        <v>11.59</v>
      </c>
      <c r="BY65" s="24"/>
      <c r="BZ65" s="63">
        <f ca="1">SQRT(22.5*(BO65/VLOOKUP(BP65,Fundamentus!A:U,3,FALSE))*(BO65/VLOOKUP(BP65,Fundamentus!A:U,4,FALSE)))</f>
        <v>13.710938999265164</v>
      </c>
      <c r="CB65" s="62">
        <f t="shared" ca="1" si="24"/>
        <v>0</v>
      </c>
      <c r="CC65" s="8"/>
      <c r="CD65" s="61">
        <f t="shared" si="25"/>
        <v>8.17</v>
      </c>
      <c r="CE65" s="61">
        <f t="shared" si="26"/>
        <v>13.86</v>
      </c>
      <c r="CF65" s="61">
        <f t="shared" si="27"/>
        <v>10.407121212121211</v>
      </c>
      <c r="CG65" s="14"/>
      <c r="CH65" s="35">
        <f t="shared" si="1"/>
        <v>10.995184270097315</v>
      </c>
      <c r="CI65" s="15">
        <f t="shared" si="28"/>
        <v>11.280000000000001</v>
      </c>
      <c r="CJ65" s="35">
        <f t="shared" si="2"/>
        <v>11.564815729902687</v>
      </c>
      <c r="CL65" s="14"/>
      <c r="CM65" s="17">
        <f t="shared" si="3"/>
        <v>2.7100000000000026</v>
      </c>
      <c r="CN65" s="17">
        <f t="shared" si="4"/>
        <v>5.4400000000000013</v>
      </c>
      <c r="CO65" s="17">
        <f t="shared" si="5"/>
        <v>8.4000000000000021</v>
      </c>
      <c r="CP65" s="38">
        <f t="shared" si="29"/>
        <v>11.13</v>
      </c>
      <c r="CQ65" s="17">
        <f t="shared" si="6"/>
        <v>14.090000000000002</v>
      </c>
      <c r="CR65" s="17">
        <f t="shared" si="7"/>
        <v>16.82</v>
      </c>
      <c r="CS65" s="17">
        <f t="shared" si="8"/>
        <v>19.78</v>
      </c>
      <c r="CT65" s="2" cm="1">
        <f t="array" aca="1" ref="CT65" ca="1">MAX(_xlfn._xlws.FILTER(CM65:CS65,CM65:CS65&lt;BO65))</f>
        <v>11.13</v>
      </c>
      <c r="CU65" s="2" cm="1">
        <f t="array" aca="1" ref="CU65" ca="1">MIN(_xlfn._xlws.FILTER($CM65:$CS65,$CM65:$CS65&gt;BO65))</f>
        <v>14.090000000000002</v>
      </c>
      <c r="CV65" s="16">
        <f t="shared" ca="1" si="80"/>
        <v>0.265947888589398</v>
      </c>
      <c r="CW65" s="20">
        <f t="shared" ca="1" si="81"/>
        <v>-0.132973944294699</v>
      </c>
      <c r="CX65" s="20">
        <f t="shared" ca="1" si="82"/>
        <v>-8.8649296196465999E-2</v>
      </c>
      <c r="CY65" s="20">
        <f t="shared" ca="1" si="83"/>
        <v>-5.3189577717879598E-2</v>
      </c>
      <c r="CZ65" s="20">
        <f t="shared" ca="1" si="84"/>
        <v>-2.9549765398821998E-2</v>
      </c>
      <c r="DA65" s="20">
        <f t="shared" ca="1" si="85"/>
        <v>-1.5643993446435175E-2</v>
      </c>
      <c r="DB65" s="20">
        <f t="shared" ca="1" si="86"/>
        <v>-8.0590269269514552E-3</v>
      </c>
      <c r="DC65" s="20">
        <f t="shared" ca="1" si="87"/>
        <v>-4.0915059782984306E-3</v>
      </c>
      <c r="DD65" s="21">
        <f t="shared" ca="1" si="88"/>
        <v>4.0915059782984306E-3</v>
      </c>
      <c r="DE65" s="21">
        <f t="shared" ca="1" si="89"/>
        <v>8.0590269269514552E-3</v>
      </c>
      <c r="DF65" s="21">
        <f t="shared" ca="1" si="90"/>
        <v>1.5643993446435175E-2</v>
      </c>
      <c r="DG65" s="21">
        <f t="shared" ca="1" si="91"/>
        <v>2.9549765398821998E-2</v>
      </c>
      <c r="DH65" s="21">
        <f t="shared" ca="1" si="92"/>
        <v>5.3189577717879598E-2</v>
      </c>
      <c r="DI65" s="21">
        <f t="shared" ca="1" si="93"/>
        <v>8.8649296196465999E-2</v>
      </c>
      <c r="DJ65" s="21">
        <f t="shared" ca="1" si="94"/>
        <v>0.132973944294699</v>
      </c>
      <c r="DL65" s="16" cm="1">
        <f t="array" aca="1" ref="DL65" ca="1">MAX(_xlfn._xlws.FILTER(CW65:DJ65,CW65:DJ65&lt;BU65))</f>
        <v>8.0590269269514552E-3</v>
      </c>
      <c r="DM65" s="16" cm="1">
        <f t="array" aca="1" ref="DM65" ca="1">MIN(_xlfn._xlws.FILTER(CW65:DJ65,CW65:DJ65&gt;BU65))</f>
        <v>1.5643993446435175E-2</v>
      </c>
      <c r="DN65" s="2" cm="1">
        <f t="array" aca="1" ref="DN65" ca="1">_FV(EC65,"Fechamento anterior",TRUE)</f>
        <v>11.25</v>
      </c>
      <c r="DO65" s="28">
        <f t="shared" ca="1" si="15"/>
        <v>0.22659966216215324</v>
      </c>
      <c r="DP65" s="15">
        <f t="shared" ca="1" si="95"/>
        <v>11.340664052928204</v>
      </c>
      <c r="DQ65" s="15">
        <f t="shared" ca="1" si="96"/>
        <v>11.425994926272395</v>
      </c>
      <c r="DR65" s="9"/>
      <c r="DS65" s="9"/>
      <c r="DT65" s="9"/>
      <c r="DU65" s="89">
        <v>7.4588108545891735E-3</v>
      </c>
      <c r="DV65" s="89">
        <f t="shared" ca="1" si="18"/>
        <v>7.5849665194837202E-3</v>
      </c>
      <c r="DW65" s="72">
        <f t="shared" ca="1" si="19"/>
        <v>0.28088336282315662</v>
      </c>
      <c r="DX65" s="37"/>
      <c r="DY65" s="35">
        <f t="shared" si="39"/>
        <v>0.14240786495134319</v>
      </c>
      <c r="DZ65" s="56"/>
      <c r="EA65" s="56"/>
      <c r="EC65" s="2" t="e" vm="65">
        <v>#VALUE!</v>
      </c>
      <c r="EE65" s="10" cm="1">
        <f t="array" aca="1" ref="EE65" ca="1">_FV(EC65,"Ações em circulação",TRUE)</f>
        <v>234178200</v>
      </c>
      <c r="EF65" s="18">
        <f>VLOOKUP(BP65,Fundamentus!A:U,5,FALSE)</f>
        <v>1.5660000000000001</v>
      </c>
      <c r="EG65" s="2">
        <f t="shared" ca="1" si="20"/>
        <v>1698763954.0229886</v>
      </c>
      <c r="EH65" s="17">
        <v>296604186.37241381</v>
      </c>
      <c r="EI65" s="17">
        <f t="shared" ca="1" si="21"/>
        <v>296604186.37241381</v>
      </c>
      <c r="EK65" s="16">
        <f t="shared" ca="1" si="22"/>
        <v>0</v>
      </c>
      <c r="EL65" s="32" t="str">
        <f>IF(VLOOKUP(BP65,Fundamentus!A:U,3,FALSE)&lt;15,"Bom",IF(VLOOKUP(BP65,Fundamentus!A:U,3,FALSE)&gt;15,"Ruim","n/a"))</f>
        <v>Bom</v>
      </c>
      <c r="EM65" s="28" t="str">
        <f>IF(VLOOKUP(BP65,Fundamentus!A:U,4,FALSE)&lt;1,"Baixo",IF(VLOOKUP(BP65,Fundamentus!A:U,4,FALSE)&lt;1.5,"Moderado",IF(VLOOKUP(BP65,Fundamentus!A:U,4,FALSE)&gt;1.5,"Alto","n/a")))</f>
        <v>Alto</v>
      </c>
      <c r="EN65" s="17" t="str">
        <f>IF(VLOOKUP(BP65,Fundamentus!A:U,8,FALSE)&lt;0,"Risco elevado",IF(VLOOKUP(BP65,Fundamentus!A:U,8,FALSE)&lt;1,"Saudável",IF(VLOOKUP(BP65,Fundamentus!A:U,8,FALSE)&lt;3,"Estável",IF(VLOOKUP(BP65,Fundamentus!A:U,8,FALSE)&gt;3,"Alerta","n/a"))))</f>
        <v>Alerta</v>
      </c>
      <c r="EO65" s="28" t="str">
        <f t="shared" si="23"/>
        <v>Bom</v>
      </c>
      <c r="EP65" s="17" t="str">
        <f>IF(VLOOKUP(BP65,Fundamentus!A:U,12,FALSE)&lt;2,"Subvalorizada",IF(VLOOKUP(BP65,Fundamentus!A:U,12,FALSE)&lt;6,"Muita barata",IF(VLOOKUP(BP65,Fundamentus!A:U,12,FALSE)&lt;6,"Barata",IF(VLOOKUP(BP65,Fundamentus!A:U,12,FALSE)&lt;8,"Atrativa",IF(VLOOKUP(BP65,Fundamentus!A:U,12,FALSE)&gt;8,"Supervalorizada","n/a")))))</f>
        <v>Muita barata</v>
      </c>
      <c r="ER65" s="17" t="str">
        <f>IF(VLOOKUP(BP65,Fundamentus!A:U,17,FALSE)&lt;0.1,"Fraco retorno",IF(VLOOKUP(BP65,Fundamentus!A:U,17,FALSE)&gt;0.1,"Bom retorno","n/a"))</f>
        <v>Bom retorno</v>
      </c>
      <c r="ES65" s="17" t="str">
        <f>IF(VLOOKUP(BP65,Fundamentus!A:U,16,FALSE)&lt;0.1,"Ineficiente",IF(VLOOKUP(BP65,Fundamentus!A:U,16,FALSE)&gt;0.1,"Eficiente","n/a"))</f>
        <v>Eficiente</v>
      </c>
      <c r="ET65" s="33" t="str">
        <f>IF(VLOOKUP(BP65,Fundamentus!A:U,16,FALSE)&lt;0.1,"Oper. Ineficiente",IF(VLOOKUP(BP65,Fundamentus!A:U,16,FALSE)&gt;0.1,"Oper.Eficiente","n/a"))</f>
        <v>Oper.Eficiente</v>
      </c>
      <c r="EU65" s="34">
        <f>VLOOKUP(BP65,Fundamentus!A:U,14,FALSE)</f>
        <v>0.17460000000000001</v>
      </c>
      <c r="EV65" s="17" t="str">
        <f>IF(VLOOKUP(BP65,Fundamentus!A:U,21,FALSE)&lt;0,"Negativo",IF(VLOOKUP(BP65,Fundamentus!A:U,21,FALSE)&lt;0.05,"Fraco",IF(VLOOKUP(BP65,Fundamentus!A:U,21,FALSE)&lt;0.1,"Bom",IF(VLOOKUP(BP65,Fundamentus!A:U,21,FALSE)&gt;0.1,"Muito bom","n/a"))))</f>
        <v>Muito bom</v>
      </c>
      <c r="EX65" s="29" t="str">
        <f>IF(VLOOKUP(BP65,Fundamentus!A:U,15,FALSE)&gt;1,"Bom",IF(VLOOKUP(BP65,Fundamentus!A:U,15,FALSE)&lt;1,"Ruim","n/a"))</f>
        <v>Bom</v>
      </c>
      <c r="EY65" s="17" t="str">
        <f>IF(VLOOKUP(BP65,Fundamentus!A:U,20,FALSE)&lt;0.5,"Baixa",IF(VLOOKUP(BP65,Fundamentus!A:U,20,FALSE)&lt;1,"Moderada",IF(VLOOKUP(BP65,Fundamentus!A:U,20,FALSE)&lt;2,"Alerta",IF(VLOOKUP(BP65,Fundamentus!A:U,20,FALSE)&gt;2,"Alta","n/a"))))</f>
        <v>Alerta</v>
      </c>
    </row>
    <row r="66" spans="1:156" s="2" customFormat="1" ht="11.25" x14ac:dyDescent="0.2">
      <c r="A66" s="4">
        <v>14.03</v>
      </c>
      <c r="B66" s="4">
        <v>13.16</v>
      </c>
      <c r="C66" s="4">
        <v>12.63</v>
      </c>
      <c r="D66" s="4">
        <v>12.1</v>
      </c>
      <c r="E66" s="4">
        <v>11.56</v>
      </c>
      <c r="F66" s="4">
        <v>11.95</v>
      </c>
      <c r="G66" s="4">
        <v>11.79</v>
      </c>
      <c r="H66" s="4">
        <v>13.06</v>
      </c>
      <c r="I66" s="4">
        <v>13.65</v>
      </c>
      <c r="J66" s="4">
        <v>14.43</v>
      </c>
      <c r="K66" s="4">
        <v>14.88</v>
      </c>
      <c r="L66" s="4">
        <v>14.16</v>
      </c>
      <c r="M66" s="4">
        <v>13.81</v>
      </c>
      <c r="N66" s="4">
        <v>13.43</v>
      </c>
      <c r="O66" s="4">
        <v>14.45</v>
      </c>
      <c r="P66" s="4">
        <v>14.13</v>
      </c>
      <c r="Q66" s="4">
        <v>13.12</v>
      </c>
      <c r="R66" s="4">
        <v>13</v>
      </c>
      <c r="S66" s="4">
        <v>13.68</v>
      </c>
      <c r="T66" s="4">
        <v>13.19</v>
      </c>
      <c r="U66" s="4">
        <v>12.71</v>
      </c>
      <c r="V66" s="4">
        <v>14.86</v>
      </c>
      <c r="W66" s="4">
        <v>14.69</v>
      </c>
      <c r="X66" s="4">
        <v>14.73</v>
      </c>
      <c r="Y66" s="4">
        <v>12.89</v>
      </c>
      <c r="Z66" s="4">
        <v>12.82</v>
      </c>
      <c r="AA66" s="4">
        <v>12.68</v>
      </c>
      <c r="AB66" s="4">
        <v>12.66</v>
      </c>
      <c r="AC66" s="4">
        <v>12.84</v>
      </c>
      <c r="AD66" s="4">
        <v>12.9</v>
      </c>
      <c r="AE66" s="4">
        <v>12.82</v>
      </c>
      <c r="AF66" s="4">
        <v>12.91</v>
      </c>
      <c r="AG66" s="4">
        <v>13</v>
      </c>
      <c r="AH66" s="4">
        <v>12.98</v>
      </c>
      <c r="AI66" s="4">
        <v>13.12</v>
      </c>
      <c r="AJ66" s="4">
        <v>13.18</v>
      </c>
      <c r="AK66" s="4">
        <v>13.14</v>
      </c>
      <c r="AL66" s="4">
        <v>13.14</v>
      </c>
      <c r="AM66" s="4">
        <v>13.15</v>
      </c>
      <c r="AN66" s="4">
        <v>13.18</v>
      </c>
      <c r="AO66" s="4">
        <v>13.18</v>
      </c>
      <c r="AP66" s="4">
        <v>13.2</v>
      </c>
      <c r="AQ66" s="4">
        <v>13.15</v>
      </c>
      <c r="AR66" s="4">
        <v>13.36</v>
      </c>
      <c r="AS66" s="4">
        <v>13.12</v>
      </c>
      <c r="AT66" s="4">
        <v>13.34</v>
      </c>
      <c r="AU66" s="4">
        <v>13.39</v>
      </c>
      <c r="AV66" s="4">
        <v>13.26</v>
      </c>
      <c r="AW66" s="4">
        <v>13.3</v>
      </c>
      <c r="AX66" s="4">
        <v>13.33</v>
      </c>
      <c r="AY66" s="12">
        <v>13.43</v>
      </c>
      <c r="AZ66" s="12">
        <v>13.52</v>
      </c>
      <c r="BA66" s="12">
        <v>13.54</v>
      </c>
      <c r="BB66" s="15">
        <v>13.53</v>
      </c>
      <c r="BC66" s="52">
        <v>13.55</v>
      </c>
      <c r="BD66" s="52">
        <v>13.62</v>
      </c>
      <c r="BE66" s="52">
        <v>13.68</v>
      </c>
      <c r="BF66" s="52">
        <v>13.69</v>
      </c>
      <c r="BG66" s="67">
        <v>13.71</v>
      </c>
      <c r="BH66" s="52">
        <v>13.69</v>
      </c>
      <c r="BI66" s="52">
        <v>13.75</v>
      </c>
      <c r="BJ66" s="52">
        <v>13.76</v>
      </c>
      <c r="BK66" s="52">
        <v>13.82</v>
      </c>
      <c r="BL66" s="52">
        <v>13.86</v>
      </c>
      <c r="BM66" s="52">
        <v>13.93</v>
      </c>
      <c r="BN66" s="52">
        <v>13.96</v>
      </c>
      <c r="BO66" s="52" cm="1">
        <f t="array" aca="1" ref="BO66" ca="1">_FV(EC66,"Preço")</f>
        <v>13.96</v>
      </c>
      <c r="BP66" s="66" t="s">
        <v>63</v>
      </c>
      <c r="BQ66" s="36" cm="1">
        <f t="array" aca="1" ref="BQ66" ca="1">_FV(EC66,"Média de volume",TRUE)</f>
        <v>3973010</v>
      </c>
      <c r="BR66" s="36">
        <v>1876900</v>
      </c>
      <c r="BS66" s="36" cm="1">
        <f t="array" aca="1" ref="BS66" ca="1">_FV(EC66,"Volume")</f>
        <v>1876900</v>
      </c>
      <c r="BT66" s="24" cm="1">
        <f t="array" aca="1" ref="BT66" ca="1">_FV(EC66,"Beta")</f>
        <v>1.2765</v>
      </c>
      <c r="BU66" s="71" cm="1">
        <f t="array" aca="1" ref="BU66" ca="1">_FV(EC66,"Variação (%)",TRUE)</f>
        <v>7.1679999999999997E-4</v>
      </c>
      <c r="BW66" s="17" cm="1">
        <f t="array" aca="1" ref="BW66" ca="1">_FV(EC66,"Baixo")</f>
        <v>13.94</v>
      </c>
      <c r="BX66" s="17" cm="1">
        <f t="array" aca="1" ref="BX66" ca="1">_FV(EC66,"Alto")</f>
        <v>13.97</v>
      </c>
      <c r="BY66" s="24"/>
      <c r="BZ66" s="63">
        <f ca="1">SQRT(22.5*(BO66/VLOOKUP(BP66,Fundamentus!A:U,3,FALSE))*(BO66/VLOOKUP(BP66,Fundamentus!A:U,4,FALSE)))</f>
        <v>3.837082465498165</v>
      </c>
      <c r="CB66" s="62">
        <f t="shared" ca="1" si="24"/>
        <v>0</v>
      </c>
      <c r="CC66" s="8"/>
      <c r="CD66" s="61">
        <f t="shared" si="25"/>
        <v>11.56</v>
      </c>
      <c r="CE66" s="61">
        <f t="shared" si="26"/>
        <v>14.88</v>
      </c>
      <c r="CF66" s="61">
        <f t="shared" si="27"/>
        <v>13.367878787878787</v>
      </c>
      <c r="CG66" s="14"/>
      <c r="CH66" s="35">
        <f t="shared" si="1"/>
        <v>13.869893142822249</v>
      </c>
      <c r="CI66" s="15">
        <f t="shared" si="28"/>
        <v>14.014999999999986</v>
      </c>
      <c r="CJ66" s="35">
        <f t="shared" si="2"/>
        <v>14.160106857177723</v>
      </c>
      <c r="CL66" s="14"/>
      <c r="CM66" s="17">
        <f t="shared" si="3"/>
        <v>8.7333333333333361</v>
      </c>
      <c r="CN66" s="17">
        <f t="shared" si="4"/>
        <v>10.146666666666668</v>
      </c>
      <c r="CO66" s="17">
        <f t="shared" si="5"/>
        <v>12.053333333333336</v>
      </c>
      <c r="CP66" s="38">
        <f t="shared" si="29"/>
        <v>13.466666666666669</v>
      </c>
      <c r="CQ66" s="17">
        <f t="shared" si="6"/>
        <v>15.373333333333337</v>
      </c>
      <c r="CR66" s="17">
        <f t="shared" si="7"/>
        <v>16.786666666666669</v>
      </c>
      <c r="CS66" s="17">
        <f t="shared" si="8"/>
        <v>18.693333333333335</v>
      </c>
      <c r="CT66" s="2" cm="1">
        <f t="array" aca="1" ref="CT66" ca="1">MAX(_xlfn._xlws.FILTER(CM66:CS66,CM66:CS66&lt;BO66))</f>
        <v>13.466666666666669</v>
      </c>
      <c r="CU66" s="2" cm="1">
        <f t="array" aca="1" ref="CU66" ca="1">MIN(_xlfn._xlws.FILTER($CM66:$CS66,$CM66:$CS66&gt;BO66))</f>
        <v>15.373333333333337</v>
      </c>
      <c r="CV66" s="16">
        <f t="shared" ca="1" si="80"/>
        <v>0.14158415841584171</v>
      </c>
      <c r="CW66" s="20">
        <f t="shared" ca="1" si="81"/>
        <v>-7.0792079207920855E-2</v>
      </c>
      <c r="CX66" s="20">
        <f t="shared" ca="1" si="82"/>
        <v>-4.7194719471947234E-2</v>
      </c>
      <c r="CY66" s="20">
        <f t="shared" ca="1" si="83"/>
        <v>-2.8316831683168342E-2</v>
      </c>
      <c r="CZ66" s="20">
        <f t="shared" ca="1" si="84"/>
        <v>-1.5731573157315746E-2</v>
      </c>
      <c r="DA66" s="20">
        <f t="shared" ca="1" si="85"/>
        <v>-8.3284799068142189E-3</v>
      </c>
      <c r="DB66" s="20">
        <f t="shared" ca="1" si="86"/>
        <v>-4.290429042904294E-3</v>
      </c>
      <c r="DC66" s="20">
        <f t="shared" ca="1" si="87"/>
        <v>-2.1782178217821802E-3</v>
      </c>
      <c r="DD66" s="21">
        <f t="shared" ca="1" si="88"/>
        <v>2.1782178217821802E-3</v>
      </c>
      <c r="DE66" s="21">
        <f t="shared" ca="1" si="89"/>
        <v>4.290429042904294E-3</v>
      </c>
      <c r="DF66" s="21">
        <f t="shared" ca="1" si="90"/>
        <v>8.3284799068142189E-3</v>
      </c>
      <c r="DG66" s="21">
        <f t="shared" ca="1" si="91"/>
        <v>1.5731573157315746E-2</v>
      </c>
      <c r="DH66" s="21">
        <f t="shared" ca="1" si="92"/>
        <v>2.8316831683168342E-2</v>
      </c>
      <c r="DI66" s="21">
        <f t="shared" ca="1" si="93"/>
        <v>4.7194719471947234E-2</v>
      </c>
      <c r="DJ66" s="21">
        <f t="shared" ca="1" si="94"/>
        <v>7.0792079207920855E-2</v>
      </c>
      <c r="DL66" s="16" cm="1">
        <f t="array" aca="1" ref="DL66" ca="1">MAX(_xlfn._xlws.FILTER(CW66:DJ66,CW66:DJ66&lt;BU66))</f>
        <v>-2.1782178217821802E-3</v>
      </c>
      <c r="DM66" s="16" cm="1">
        <f t="array" aca="1" ref="DM66" ca="1">MIN(_xlfn._xlws.FILTER(CW66:DJ66,CW66:DJ66&gt;BU66))</f>
        <v>2.1782178217821802E-3</v>
      </c>
      <c r="DN66" s="2" cm="1">
        <f t="array" aca="1" ref="DN66" ca="1">_FV(EC66,"Fechamento anterior",TRUE)</f>
        <v>13.95</v>
      </c>
      <c r="DO66" s="28">
        <f t="shared" ca="1" si="15"/>
        <v>0.66454871293583351</v>
      </c>
      <c r="DP66" s="15">
        <f t="shared" ca="1" si="95"/>
        <v>13.919613861386138</v>
      </c>
      <c r="DQ66" s="15">
        <f t="shared" ca="1" si="96"/>
        <v>13.980386138613861</v>
      </c>
      <c r="DR66" s="9"/>
      <c r="DS66" s="9"/>
      <c r="DT66" s="9"/>
      <c r="DU66" s="89">
        <v>2.0804340407318037E-3</v>
      </c>
      <c r="DV66" s="89">
        <f t="shared" ca="1" si="18"/>
        <v>4.3564356435643603E-3</v>
      </c>
      <c r="DW66" s="75">
        <f t="shared" ca="1" si="19"/>
        <v>-0.37903101941362893</v>
      </c>
      <c r="DX66" s="37"/>
      <c r="DY66" s="35">
        <f t="shared" si="39"/>
        <v>7.2553428588868429E-2</v>
      </c>
      <c r="DZ66" s="56"/>
      <c r="EA66" s="56"/>
      <c r="EC66" s="2" t="e" vm="66">
        <v>#VALUE!</v>
      </c>
      <c r="EE66" s="10" cm="1">
        <f t="array" aca="1" ref="EE66" ca="1">_FV(EC66,"Ações em circulação",TRUE)</f>
        <v>864170300</v>
      </c>
      <c r="EF66" s="18">
        <f>VLOOKUP(BP66,Fundamentus!A:U,5,FALSE)</f>
        <v>3.8130000000000002</v>
      </c>
      <c r="EG66" s="2">
        <f t="shared" ca="1" si="20"/>
        <v>3163865037.5032783</v>
      </c>
      <c r="EH66" s="17">
        <v>798243148.96207714</v>
      </c>
      <c r="EI66" s="17">
        <f t="shared" ca="1" si="21"/>
        <v>798243148.96207714</v>
      </c>
      <c r="EK66" s="16">
        <f ca="1">(EI66/EH66)-1</f>
        <v>0</v>
      </c>
      <c r="EL66" s="32" t="str">
        <f>IF(VLOOKUP(BP66,Fundamentus!A:U,3,FALSE)&lt;15,"Bom",IF(VLOOKUP(BP66,Fundamentus!A:U,3,FALSE)&gt;15,"Ruim","n/a"))</f>
        <v>Ruim</v>
      </c>
      <c r="EM66" s="28" t="str">
        <f>IF(VLOOKUP(BP66,Fundamentus!A:U,4,FALSE)&lt;1,"Baixo",IF(VLOOKUP(BP66,Fundamentus!A:U,4,FALSE)&lt;1.5,"Moderado",IF(VLOOKUP(BP66,Fundamentus!A:U,4,FALSE)&gt;1.5,"Alto","n/a")))</f>
        <v>Alto</v>
      </c>
      <c r="EN66" s="17" t="str">
        <f>IF(VLOOKUP(BP66,Fundamentus!A:U,8,FALSE)&lt;0,"Risco elevado",IF(VLOOKUP(BP66,Fundamentus!A:U,8,FALSE)&lt;1,"Saudável",IF(VLOOKUP(BP66,Fundamentus!A:U,8,FALSE)&lt;3,"Estável",IF(VLOOKUP(BP66,Fundamentus!A:U,8,FALSE)&gt;3,"Alerta","n/a"))))</f>
        <v>Alerta</v>
      </c>
      <c r="EO66" s="28" t="str">
        <f t="shared" si="23"/>
        <v>Bom</v>
      </c>
      <c r="EP66" s="17" t="str">
        <f>IF(VLOOKUP(BP66,Fundamentus!A:U,12,FALSE)&lt;2,"Subvalorizada",IF(VLOOKUP(BP66,Fundamentus!A:U,12,FALSE)&lt;6,"Muita barata",IF(VLOOKUP(BP66,Fundamentus!A:U,12,FALSE)&lt;6,"Barata",IF(VLOOKUP(BP66,Fundamentus!A:U,12,FALSE)&lt;8,"Atrativa",IF(VLOOKUP(BP66,Fundamentus!A:U,12,FALSE)&gt;8,"Supervalorizada","n/a")))))</f>
        <v>Supervalorizada</v>
      </c>
      <c r="ER66" s="17" t="str">
        <f>IF(VLOOKUP(BP66,Fundamentus!A:U,17,FALSE)&lt;0.1,"Fraco retorno",IF(VLOOKUP(BP66,Fundamentus!A:U,17,FALSE)&gt;0.1,"Bom retorno","n/a"))</f>
        <v>Bom retorno</v>
      </c>
      <c r="ES66" s="17" t="str">
        <f>IF(VLOOKUP(BP66,Fundamentus!A:U,16,FALSE)&lt;0.1,"Ineficiente",IF(VLOOKUP(BP66,Fundamentus!A:U,16,FALSE)&gt;0.1,"Eficiente","n/a"))</f>
        <v>Eficiente</v>
      </c>
      <c r="ET66" s="33" t="str">
        <f>IF(VLOOKUP(BP66,Fundamentus!A:U,16,FALSE)&lt;0.1,"Oper. Ineficiente",IF(VLOOKUP(BP66,Fundamentus!A:U,16,FALSE)&gt;0.1,"Oper.Eficiente","n/a"))</f>
        <v>Oper.Eficiente</v>
      </c>
      <c r="EU66" s="34">
        <f>VLOOKUP(BP66,Fundamentus!A:U,14,FALSE)</f>
        <v>0.25230000000000002</v>
      </c>
      <c r="EV66" s="17" t="str">
        <f>IF(VLOOKUP(BP66,Fundamentus!A:U,21,FALSE)&lt;0,"Negativo",IF(VLOOKUP(BP66,Fundamentus!A:U,21,FALSE)&lt;0.05,"Fraco",IF(VLOOKUP(BP66,Fundamentus!A:U,21,FALSE)&lt;0.1,"Bom",IF(VLOOKUP(BP66,Fundamentus!A:U,21,FALSE)&gt;0.1,"Muito bom","n/a"))))</f>
        <v>Muito bom</v>
      </c>
      <c r="EX66" s="29" t="str">
        <f>IF(VLOOKUP(BP66,Fundamentus!A:U,15,FALSE)&gt;1,"Bom",IF(VLOOKUP(BP66,Fundamentus!A:U,15,FALSE)&lt;1,"Ruim","n/a"))</f>
        <v>Bom</v>
      </c>
      <c r="EY66" s="17" t="str">
        <f>IF(VLOOKUP(BP66,Fundamentus!A:U,20,FALSE)&lt;0.5,"Baixa",IF(VLOOKUP(BP66,Fundamentus!A:U,20,FALSE)&lt;1,"Moderada",IF(VLOOKUP(BP66,Fundamentus!A:U,20,FALSE)&lt;2,"Alerta",IF(VLOOKUP(BP66,Fundamentus!A:U,20,FALSE)&gt;2,"Alta","n/a"))))</f>
        <v>Alta</v>
      </c>
    </row>
    <row r="67" spans="1:156" s="2" customFormat="1" ht="11.25" x14ac:dyDescent="0.2">
      <c r="A67" s="4">
        <v>24.09</v>
      </c>
      <c r="B67" s="4">
        <v>23.59</v>
      </c>
      <c r="C67" s="4">
        <v>23.69</v>
      </c>
      <c r="D67" s="4">
        <v>22.45</v>
      </c>
      <c r="E67" s="4">
        <v>21.63</v>
      </c>
      <c r="F67" s="4">
        <v>20.8</v>
      </c>
      <c r="G67" s="4">
        <v>20.72</v>
      </c>
      <c r="H67" s="4">
        <v>20.93</v>
      </c>
      <c r="I67" s="4">
        <v>20.9</v>
      </c>
      <c r="J67" s="4">
        <v>22.11</v>
      </c>
      <c r="K67" s="4">
        <v>22.75</v>
      </c>
      <c r="L67" s="4">
        <v>23.09</v>
      </c>
      <c r="M67" s="4">
        <v>23.24</v>
      </c>
      <c r="N67" s="4">
        <v>23.31</v>
      </c>
      <c r="O67" s="4">
        <v>24.75</v>
      </c>
      <c r="P67" s="4">
        <v>26.03</v>
      </c>
      <c r="Q67" s="4">
        <v>25.45</v>
      </c>
      <c r="R67" s="4">
        <v>25.72</v>
      </c>
      <c r="S67" s="4">
        <v>25.91</v>
      </c>
      <c r="T67" s="4">
        <v>25.28</v>
      </c>
      <c r="U67" s="4">
        <v>24.78</v>
      </c>
      <c r="V67" s="4">
        <v>23.62</v>
      </c>
      <c r="W67" s="4">
        <v>23.09</v>
      </c>
      <c r="X67" s="4">
        <v>22.87</v>
      </c>
      <c r="Y67" s="4">
        <v>22.15</v>
      </c>
      <c r="Z67" s="4">
        <v>21.91</v>
      </c>
      <c r="AA67" s="4">
        <v>22.12</v>
      </c>
      <c r="AB67" s="4">
        <v>22.45</v>
      </c>
      <c r="AC67" s="4">
        <v>22.21</v>
      </c>
      <c r="AD67" s="4">
        <v>21.83</v>
      </c>
      <c r="AE67" s="4">
        <v>20.63</v>
      </c>
      <c r="AF67" s="4">
        <v>20.190000000000001</v>
      </c>
      <c r="AG67" s="4">
        <v>20.09</v>
      </c>
      <c r="AH67" s="4">
        <v>18.510000000000002</v>
      </c>
      <c r="AI67" s="4">
        <v>17.899999999999999</v>
      </c>
      <c r="AJ67" s="4">
        <v>17.600000000000001</v>
      </c>
      <c r="AK67" s="4">
        <v>17.399999999999999</v>
      </c>
      <c r="AL67" s="4">
        <v>17.02</v>
      </c>
      <c r="AM67" s="4">
        <v>17.59</v>
      </c>
      <c r="AN67" s="4">
        <v>16.86</v>
      </c>
      <c r="AO67" s="4">
        <v>16.48</v>
      </c>
      <c r="AP67" s="4">
        <v>18.170000000000002</v>
      </c>
      <c r="AQ67" s="4">
        <v>17.579999999999998</v>
      </c>
      <c r="AR67" s="4">
        <v>17.02</v>
      </c>
      <c r="AS67" s="4">
        <v>16.670000000000002</v>
      </c>
      <c r="AT67" s="4">
        <v>17.53</v>
      </c>
      <c r="AU67" s="4">
        <v>17.93</v>
      </c>
      <c r="AV67" s="4">
        <v>18.190000000000001</v>
      </c>
      <c r="AW67" s="4">
        <v>17.690000000000001</v>
      </c>
      <c r="AX67" s="4">
        <v>17.899999999999999</v>
      </c>
      <c r="AY67" s="12">
        <v>18.100000000000001</v>
      </c>
      <c r="AZ67" s="12">
        <v>19.100000000000001</v>
      </c>
      <c r="BA67" s="12">
        <v>18.8</v>
      </c>
      <c r="BB67" s="15">
        <v>17.88</v>
      </c>
      <c r="BC67" s="52">
        <v>18.95</v>
      </c>
      <c r="BD67" s="52">
        <v>19.18</v>
      </c>
      <c r="BE67" s="52">
        <v>20.18</v>
      </c>
      <c r="BF67" s="52">
        <v>20.13</v>
      </c>
      <c r="BG67" s="67">
        <v>21.07</v>
      </c>
      <c r="BH67" s="52">
        <v>21.43</v>
      </c>
      <c r="BI67" s="52">
        <v>21.21</v>
      </c>
      <c r="BJ67" s="52">
        <v>22.59</v>
      </c>
      <c r="BK67" s="52">
        <v>21.74</v>
      </c>
      <c r="BL67" s="52">
        <v>20.239999999999998</v>
      </c>
      <c r="BM67" s="52">
        <v>21.05</v>
      </c>
      <c r="BN67" s="52">
        <v>21.2</v>
      </c>
      <c r="BO67" s="52" cm="1">
        <f t="array" aca="1" ref="BO67" ca="1">_FV(EC67,"Preço")</f>
        <v>21.2</v>
      </c>
      <c r="BP67" s="69" t="s">
        <v>116</v>
      </c>
      <c r="BQ67" s="36" cm="1">
        <f t="array" aca="1" ref="BQ67" ca="1">_FV(EC67,"Média de volume",TRUE)</f>
        <v>11243750</v>
      </c>
      <c r="BR67" s="36">
        <v>10955800</v>
      </c>
      <c r="BS67" s="36" cm="1">
        <f t="array" aca="1" ref="BS67" ca="1">_FV(EC67,"Volume")</f>
        <v>10955800</v>
      </c>
      <c r="BT67" s="24" cm="1">
        <f t="array" aca="1" ref="BT67" ca="1">_FV(EC67,"Beta")</f>
        <v>1.0285</v>
      </c>
      <c r="BU67" s="71" cm="1">
        <f t="array" aca="1" ref="BU67" ca="1">_FV(EC67,"Variação (%)",TRUE)</f>
        <v>-4.7149999999999997E-4</v>
      </c>
      <c r="BW67" s="17" cm="1">
        <f t="array" aca="1" ref="BW67" ca="1">_FV(EC67,"Baixo")</f>
        <v>21.1</v>
      </c>
      <c r="BX67" s="17" cm="1">
        <f t="array" aca="1" ref="BX67" ca="1">_FV(EC67,"Alto")</f>
        <v>21.75</v>
      </c>
      <c r="BY67" s="24"/>
      <c r="BZ67" s="63">
        <f ca="1">SQRT(22.5*(BO67/VLOOKUP(BP67,Fundamentus!A:U,3,FALSE))*(BO67/VLOOKUP(BP67,Fundamentus!A:U,4,FALSE)))</f>
        <v>50.186203717620941</v>
      </c>
      <c r="CB67" s="62">
        <f t="shared" ca="1" si="24"/>
        <v>0</v>
      </c>
      <c r="CC67" s="8"/>
      <c r="CD67" s="61">
        <f t="shared" si="25"/>
        <v>16.48</v>
      </c>
      <c r="CE67" s="61">
        <f t="shared" si="26"/>
        <v>26.03</v>
      </c>
      <c r="CF67" s="61">
        <f t="shared" si="27"/>
        <v>20.837424242424248</v>
      </c>
      <c r="CG67" s="14"/>
      <c r="CH67" s="35">
        <f t="shared" si="1"/>
        <v>19.297227230947883</v>
      </c>
      <c r="CI67" s="15">
        <f t="shared" si="28"/>
        <v>20.854999999999905</v>
      </c>
      <c r="CJ67" s="35">
        <f t="shared" si="2"/>
        <v>22.412772769051927</v>
      </c>
      <c r="CL67" s="14"/>
      <c r="CM67" s="17">
        <f t="shared" si="3"/>
        <v>6.8933333333333344</v>
      </c>
      <c r="CN67" s="17">
        <f t="shared" si="4"/>
        <v>11.686666666666667</v>
      </c>
      <c r="CO67" s="17">
        <f t="shared" si="5"/>
        <v>16.443333333333335</v>
      </c>
      <c r="CP67" s="38">
        <f t="shared" si="29"/>
        <v>21.236666666666668</v>
      </c>
      <c r="CQ67" s="17">
        <f t="shared" si="6"/>
        <v>25.993333333333336</v>
      </c>
      <c r="CR67" s="17">
        <f t="shared" si="7"/>
        <v>30.786666666666669</v>
      </c>
      <c r="CS67" s="17">
        <f t="shared" si="8"/>
        <v>35.543333333333337</v>
      </c>
      <c r="CT67" s="2" cm="1">
        <f t="array" aca="1" ref="CT67" ca="1">MAX(_xlfn._xlws.FILTER(CM67:CS67,CM67:CS67&lt;BO67))</f>
        <v>16.443333333333335</v>
      </c>
      <c r="CU67" s="2" cm="1">
        <f t="array" aca="1" ref="CU67" ca="1">MIN(_xlfn._xlws.FILTER($CM67:$CS67,$CM67:$CS67&gt;BO67))</f>
        <v>21.236666666666668</v>
      </c>
      <c r="CV67" s="16">
        <f t="shared" ca="1" si="80"/>
        <v>0.29150618285019259</v>
      </c>
      <c r="CW67" s="20">
        <f t="shared" ca="1" si="81"/>
        <v>-0.14575309142509629</v>
      </c>
      <c r="CX67" s="20">
        <f t="shared" ca="1" si="82"/>
        <v>-9.7168727616730857E-2</v>
      </c>
      <c r="CY67" s="20">
        <f t="shared" ca="1" si="83"/>
        <v>-5.8301236570038516E-2</v>
      </c>
      <c r="CZ67" s="20">
        <f t="shared" ca="1" si="84"/>
        <v>-3.2389575872243621E-2</v>
      </c>
      <c r="DA67" s="20">
        <f t="shared" ca="1" si="85"/>
        <v>-1.7147422520599562E-2</v>
      </c>
      <c r="DB67" s="20">
        <f t="shared" ca="1" si="86"/>
        <v>-8.8335206924300778E-3</v>
      </c>
      <c r="DC67" s="20">
        <f t="shared" ca="1" si="87"/>
        <v>-4.4847105053875784E-3</v>
      </c>
      <c r="DD67" s="21">
        <f t="shared" ca="1" si="88"/>
        <v>4.4847105053875784E-3</v>
      </c>
      <c r="DE67" s="21">
        <f t="shared" ca="1" si="89"/>
        <v>8.8335206924300778E-3</v>
      </c>
      <c r="DF67" s="21">
        <f t="shared" ca="1" si="90"/>
        <v>1.7147422520599562E-2</v>
      </c>
      <c r="DG67" s="21">
        <f t="shared" ca="1" si="91"/>
        <v>3.2389575872243621E-2</v>
      </c>
      <c r="DH67" s="21">
        <f t="shared" ca="1" si="92"/>
        <v>5.8301236570038516E-2</v>
      </c>
      <c r="DI67" s="21">
        <f t="shared" ca="1" si="93"/>
        <v>9.7168727616730857E-2</v>
      </c>
      <c r="DJ67" s="21">
        <f t="shared" ca="1" si="94"/>
        <v>0.14575309142509629</v>
      </c>
      <c r="DL67" s="16" cm="1">
        <f t="array" aca="1" ref="DL67" ca="1">MAX(_xlfn._xlws.FILTER(CW67:DJ67,CW67:DJ67&lt;BU67))</f>
        <v>-4.4847105053875784E-3</v>
      </c>
      <c r="DM67" s="16" cm="1">
        <f t="array" aca="1" ref="DM67" ca="1">MIN(_xlfn._xlws.FILTER(CW67:DJ67,CW67:DJ67&gt;BU67))</f>
        <v>4.4847105053875784E-3</v>
      </c>
      <c r="DN67" s="2" cm="1">
        <f t="array" aca="1" ref="DN67" ca="1">_FV(EC67,"Fechamento anterior",TRUE)</f>
        <v>21.21</v>
      </c>
      <c r="DO67" s="28">
        <f t="shared" ca="1" si="15"/>
        <v>0.44743521143291681</v>
      </c>
      <c r="DP67" s="15">
        <f t="shared" ca="1" si="95"/>
        <v>21.114879290180731</v>
      </c>
      <c r="DQ67" s="15">
        <f t="shared" ca="1" si="96"/>
        <v>21.305120709819271</v>
      </c>
      <c r="DR67" s="9"/>
      <c r="DS67" s="9"/>
      <c r="DT67" s="9"/>
      <c r="DU67" s="89">
        <v>1.8854360336432049E-2</v>
      </c>
      <c r="DV67" s="89">
        <f t="shared" ca="1" si="18"/>
        <v>8.9694210107751568E-3</v>
      </c>
      <c r="DW67" s="72">
        <f t="shared" ca="1" si="19"/>
        <v>0.22147004162233719</v>
      </c>
      <c r="DX67" s="37"/>
      <c r="DY67" s="35">
        <f t="shared" si="39"/>
        <v>0.77888638452601056</v>
      </c>
      <c r="DZ67" s="56"/>
      <c r="EA67" s="56"/>
      <c r="EC67" s="2" t="e" vm="67">
        <v>#VALUE!</v>
      </c>
      <c r="EE67" s="10" cm="1">
        <f t="array" aca="1" ref="EE67" ca="1">_FV(EC67,"Ações em circulação",TRUE)</f>
        <v>1119000000</v>
      </c>
      <c r="EF67" s="18">
        <f>VLOOKUP(BP67,Fundamentus!A:U,5,FALSE)</f>
        <v>0.127</v>
      </c>
      <c r="EG67" s="2">
        <f t="shared" ca="1" si="20"/>
        <v>186793700787.40158</v>
      </c>
      <c r="EH67" s="17">
        <v>6500420787.4015741</v>
      </c>
      <c r="EI67" s="17">
        <f t="shared" ca="1" si="21"/>
        <v>6500420787.4015741</v>
      </c>
      <c r="EK67" s="16">
        <f t="shared" ref="EK67:EK130" ca="1" si="97">(EI67/EH67)-1</f>
        <v>0</v>
      </c>
      <c r="EL67" s="32" t="str">
        <f>IF(VLOOKUP(BP67,Fundamentus!A:U,3,FALSE)&lt;15,"Bom",IF(VLOOKUP(BP67,Fundamentus!A:U,3,FALSE)&gt;15,"Ruim","n/a"))</f>
        <v>Bom</v>
      </c>
      <c r="EM67" s="28" t="str">
        <f>IF(VLOOKUP(BP67,Fundamentus!A:U,4,FALSE)&lt;1,"Baixo",IF(VLOOKUP(BP67,Fundamentus!A:U,4,FALSE)&lt;1.5,"Moderado",IF(VLOOKUP(BP67,Fundamentus!A:U,4,FALSE)&gt;1.5,"Alto","n/a")))</f>
        <v>Moderado</v>
      </c>
      <c r="EN67" s="17" t="str">
        <f>IF(VLOOKUP(BP67,Fundamentus!A:U,8,FALSE)&lt;0,"Risco elevado",IF(VLOOKUP(BP67,Fundamentus!A:U,8,FALSE)&lt;1,"Saudável",IF(VLOOKUP(BP67,Fundamentus!A:U,8,FALSE)&lt;3,"Estável",IF(VLOOKUP(BP67,Fundamentus!A:U,8,FALSE)&gt;3,"Alerta","n/a"))))</f>
        <v>Estável</v>
      </c>
      <c r="EO67" s="28" t="str">
        <f t="shared" si="23"/>
        <v>Ruim</v>
      </c>
      <c r="EP67" s="17" t="str">
        <f>IF(VLOOKUP(BP67,Fundamentus!A:U,12,FALSE)&lt;2,"Subvalorizada",IF(VLOOKUP(BP67,Fundamentus!A:U,12,FALSE)&lt;6,"Muita barata",IF(VLOOKUP(BP67,Fundamentus!A:U,12,FALSE)&lt;6,"Barata",IF(VLOOKUP(BP67,Fundamentus!A:U,12,FALSE)&lt;8,"Atrativa",IF(VLOOKUP(BP67,Fundamentus!A:U,12,FALSE)&gt;8,"Supervalorizada","n/a")))))</f>
        <v>Supervalorizada</v>
      </c>
      <c r="ER67" s="17" t="str">
        <f>IF(VLOOKUP(BP67,Fundamentus!A:U,17,FALSE)&lt;0.1,"Fraco retorno",IF(VLOOKUP(BP67,Fundamentus!A:U,17,FALSE)&gt;0.1,"Bom retorno","n/a"))</f>
        <v>Bom retorno</v>
      </c>
      <c r="ES67" s="17" t="str">
        <f>IF(VLOOKUP(BP67,Fundamentus!A:U,16,FALSE)&lt;0.1,"Ineficiente",IF(VLOOKUP(BP67,Fundamentus!A:U,16,FALSE)&gt;0.1,"Eficiente","n/a"))</f>
        <v>Ineficiente</v>
      </c>
      <c r="ET67" s="33" t="str">
        <f>IF(VLOOKUP(BP67,Fundamentus!A:U,16,FALSE)&lt;0.1,"Oper. Ineficiente",IF(VLOOKUP(BP67,Fundamentus!A:U,16,FALSE)&gt;0.1,"Oper.Eficiente","n/a"))</f>
        <v>Oper. Ineficiente</v>
      </c>
      <c r="EU67" s="34">
        <f>VLOOKUP(BP67,Fundamentus!A:U,14,FALSE)</f>
        <v>3.4799999999999998E-2</v>
      </c>
      <c r="EV67" s="17" t="str">
        <f>IF(VLOOKUP(BP67,Fundamentus!A:U,21,FALSE)&lt;0,"Negativo",IF(VLOOKUP(BP67,Fundamentus!A:U,21,FALSE)&lt;0.05,"Fraco",IF(VLOOKUP(BP67,Fundamentus!A:U,21,FALSE)&lt;0.1,"Bom",IF(VLOOKUP(BP67,Fundamentus!A:U,21,FALSE)&gt;0.1,"Muito bom","n/a"))))</f>
        <v>Muito bom</v>
      </c>
      <c r="EX67" s="29" t="str">
        <f>IF(VLOOKUP(BP67,Fundamentus!A:U,15,FALSE)&gt;1,"Bom",IF(VLOOKUP(BP67,Fundamentus!A:U,15,FALSE)&lt;1,"Ruim","n/a"))</f>
        <v>Bom</v>
      </c>
      <c r="EY67" s="17" t="str">
        <f>IF(VLOOKUP(BP67,Fundamentus!A:U,20,FALSE)&lt;0.5,"Baixa",IF(VLOOKUP(BP67,Fundamentus!A:U,20,FALSE)&lt;1,"Moderada",IF(VLOOKUP(BP67,Fundamentus!A:U,20,FALSE)&lt;2,"Alerta",IF(VLOOKUP(BP67,Fundamentus!A:U,20,FALSE)&gt;2,"Alta","n/a"))))</f>
        <v>Alerta</v>
      </c>
      <c r="EZ67" s="10"/>
    </row>
    <row r="68" spans="1:156" s="2" customFormat="1" ht="11.25" x14ac:dyDescent="0.2">
      <c r="A68" s="4">
        <v>18.46</v>
      </c>
      <c r="B68" s="4">
        <v>18</v>
      </c>
      <c r="C68" s="4">
        <v>18.29</v>
      </c>
      <c r="D68" s="4">
        <v>17.8</v>
      </c>
      <c r="E68" s="4">
        <v>17.510000000000002</v>
      </c>
      <c r="F68" s="4">
        <v>17.21</v>
      </c>
      <c r="G68" s="4">
        <v>17.03</v>
      </c>
      <c r="H68" s="4">
        <v>17.7</v>
      </c>
      <c r="I68" s="4">
        <v>19.39</v>
      </c>
      <c r="J68" s="4">
        <v>20.25</v>
      </c>
      <c r="K68" s="4">
        <v>20.52</v>
      </c>
      <c r="L68" s="4">
        <v>20.49</v>
      </c>
      <c r="M68" s="4">
        <v>19.34</v>
      </c>
      <c r="N68" s="4">
        <v>18.97</v>
      </c>
      <c r="O68" s="4">
        <v>18.47</v>
      </c>
      <c r="P68" s="4">
        <v>18.25</v>
      </c>
      <c r="Q68" s="4">
        <v>19.190000000000001</v>
      </c>
      <c r="R68" s="4">
        <v>19.739999999999998</v>
      </c>
      <c r="S68" s="4">
        <v>20.100000000000001</v>
      </c>
      <c r="T68" s="4">
        <v>20.41</v>
      </c>
      <c r="U68" s="4">
        <v>20.350000000000001</v>
      </c>
      <c r="V68" s="4">
        <v>20.350000000000001</v>
      </c>
      <c r="W68" s="4">
        <v>21.08</v>
      </c>
      <c r="X68" s="4">
        <v>20.84</v>
      </c>
      <c r="Y68" s="4">
        <v>22.26</v>
      </c>
      <c r="Z68" s="4">
        <v>22.33</v>
      </c>
      <c r="AA68" s="4">
        <v>21.1</v>
      </c>
      <c r="AB68" s="4">
        <v>20.8</v>
      </c>
      <c r="AC68" s="4">
        <v>20.73</v>
      </c>
      <c r="AD68" s="4">
        <v>20.65</v>
      </c>
      <c r="AE68" s="4">
        <v>20.36</v>
      </c>
      <c r="AF68" s="4">
        <v>20.97</v>
      </c>
      <c r="AG68" s="4">
        <v>21.28</v>
      </c>
      <c r="AH68" s="4">
        <v>20.25</v>
      </c>
      <c r="AI68" s="4">
        <v>20.59</v>
      </c>
      <c r="AJ68" s="4">
        <v>20.38</v>
      </c>
      <c r="AK68" s="4">
        <v>20.34</v>
      </c>
      <c r="AL68" s="4">
        <v>20.88</v>
      </c>
      <c r="AM68" s="4">
        <v>21.38</v>
      </c>
      <c r="AN68" s="4">
        <v>21.65</v>
      </c>
      <c r="AO68" s="4">
        <v>21.61</v>
      </c>
      <c r="AP68" s="4">
        <v>23.29</v>
      </c>
      <c r="AQ68" s="4">
        <v>23.79</v>
      </c>
      <c r="AR68" s="4">
        <v>23.77</v>
      </c>
      <c r="AS68" s="4">
        <v>25.2</v>
      </c>
      <c r="AT68" s="4">
        <v>26.38</v>
      </c>
      <c r="AU68" s="4">
        <v>27.3</v>
      </c>
      <c r="AV68" s="4">
        <v>27.47</v>
      </c>
      <c r="AW68" s="4">
        <v>26.99</v>
      </c>
      <c r="AX68" s="4">
        <v>27.3</v>
      </c>
      <c r="AY68" s="12">
        <v>27.69</v>
      </c>
      <c r="AZ68" s="12">
        <v>28.79</v>
      </c>
      <c r="BA68" s="12">
        <v>29.24</v>
      </c>
      <c r="BB68" s="15">
        <v>28.78</v>
      </c>
      <c r="BC68" s="52">
        <v>27.33</v>
      </c>
      <c r="BD68" s="52">
        <v>26.15</v>
      </c>
      <c r="BE68" s="52">
        <v>26.34</v>
      </c>
      <c r="BF68" s="52">
        <v>26.88</v>
      </c>
      <c r="BG68" s="67">
        <v>27.03</v>
      </c>
      <c r="BH68" s="52">
        <v>26.86</v>
      </c>
      <c r="BI68" s="52">
        <v>27.01</v>
      </c>
      <c r="BJ68" s="52">
        <v>27.74</v>
      </c>
      <c r="BK68" s="52">
        <v>23.91</v>
      </c>
      <c r="BL68" s="52">
        <v>23.75</v>
      </c>
      <c r="BM68" s="52">
        <v>22.85</v>
      </c>
      <c r="BN68" s="52">
        <v>23.65</v>
      </c>
      <c r="BO68" s="52" cm="1">
        <f t="array" aca="1" ref="BO68" ca="1">_FV(EC68,"Preço")</f>
        <v>23.65</v>
      </c>
      <c r="BP68" s="69" t="s">
        <v>65</v>
      </c>
      <c r="BQ68" s="36" cm="1">
        <f t="array" aca="1" ref="BQ68" ca="1">_FV(EC68,"Média de volume",TRUE)</f>
        <v>505520</v>
      </c>
      <c r="BR68" s="36">
        <v>485400</v>
      </c>
      <c r="BS68" s="36" cm="1">
        <f t="array" aca="1" ref="BS68" ca="1">_FV(EC68,"Volume")</f>
        <v>485400</v>
      </c>
      <c r="BT68" s="24" cm="1">
        <f t="array" aca="1" ref="BT68" ca="1">_FV(EC68,"Beta")</f>
        <v>0.98609999999999998</v>
      </c>
      <c r="BU68" s="71" cm="1">
        <f t="array" aca="1" ref="BU68" ca="1">_FV(EC68,"Variação (%)",TRUE)</f>
        <v>1.694E-3</v>
      </c>
      <c r="BW68" s="17" cm="1">
        <f t="array" aca="1" ref="BW68" ca="1">_FV(EC68,"Baixo")</f>
        <v>23.42</v>
      </c>
      <c r="BX68" s="17" cm="1">
        <f t="array" aca="1" ref="BX68" ca="1">_FV(EC68,"Alto")</f>
        <v>23.96</v>
      </c>
      <c r="BY68" s="24"/>
      <c r="BZ68" s="63">
        <f ca="1">SQRT(22.5*(BO68/VLOOKUP(BP68,Fundamentus!A:U,3,FALSE))*(BO68/VLOOKUP(BP68,Fundamentus!A:U,4,FALSE)))</f>
        <v>14.275451648616885</v>
      </c>
      <c r="CB68" s="62">
        <f t="shared" ca="1" si="24"/>
        <v>0</v>
      </c>
      <c r="CC68" s="8"/>
      <c r="CD68" s="61">
        <f t="shared" si="25"/>
        <v>17.03</v>
      </c>
      <c r="CE68" s="61">
        <f t="shared" si="26"/>
        <v>29.24</v>
      </c>
      <c r="CF68" s="61">
        <f t="shared" si="27"/>
        <v>22.314999999999998</v>
      </c>
      <c r="CG68" s="14"/>
      <c r="CH68" s="35">
        <f t="shared" si="1"/>
        <v>19.68125604326243</v>
      </c>
      <c r="CI68" s="15">
        <f t="shared" si="28"/>
        <v>23.120000000000118</v>
      </c>
      <c r="CJ68" s="35">
        <f t="shared" si="2"/>
        <v>26.558743956737807</v>
      </c>
      <c r="CL68" s="14"/>
      <c r="CM68" s="17">
        <f t="shared" si="3"/>
        <v>5.1633333333333269</v>
      </c>
      <c r="CN68" s="17">
        <f t="shared" si="4"/>
        <v>11.096666666666664</v>
      </c>
      <c r="CO68" s="17">
        <f t="shared" si="5"/>
        <v>17.373333333333324</v>
      </c>
      <c r="CP68" s="38">
        <f t="shared" si="29"/>
        <v>23.306666666666661</v>
      </c>
      <c r="CQ68" s="17">
        <f t="shared" si="6"/>
        <v>29.583333333333321</v>
      </c>
      <c r="CR68" s="17">
        <f t="shared" si="7"/>
        <v>35.516666666666659</v>
      </c>
      <c r="CS68" s="17">
        <f t="shared" si="8"/>
        <v>41.793333333333322</v>
      </c>
      <c r="CT68" s="2" cm="1">
        <f t="array" aca="1" ref="CT68" ca="1">MAX(_xlfn._xlws.FILTER(CM68:CS68,CM68:CS68&lt;BO68))</f>
        <v>23.306666666666661</v>
      </c>
      <c r="CU68" s="2" cm="1">
        <f t="array" aca="1" ref="CU68" ca="1">MIN(_xlfn._xlws.FILTER($CM68:$CS68,$CM68:$CS68&gt;BO68))</f>
        <v>29.583333333333321</v>
      </c>
      <c r="CV68" s="16">
        <f t="shared" ca="1" si="80"/>
        <v>0.26930778032036584</v>
      </c>
      <c r="CW68" s="20">
        <f t="shared" ca="1" si="81"/>
        <v>-0.13465389016018292</v>
      </c>
      <c r="CX68" s="20">
        <f t="shared" ca="1" si="82"/>
        <v>-8.9769260106788609E-2</v>
      </c>
      <c r="CY68" s="20">
        <f t="shared" ca="1" si="83"/>
        <v>-5.3861556064073168E-2</v>
      </c>
      <c r="CZ68" s="20">
        <f t="shared" ca="1" si="84"/>
        <v>-2.9923086702262871E-2</v>
      </c>
      <c r="DA68" s="20">
        <f t="shared" ca="1" si="85"/>
        <v>-1.584163413649211E-2</v>
      </c>
      <c r="DB68" s="20">
        <f t="shared" ca="1" si="86"/>
        <v>-8.1608418278898733E-3</v>
      </c>
      <c r="DC68" s="20">
        <f t="shared" ca="1" si="87"/>
        <v>-4.1431966203133207E-3</v>
      </c>
      <c r="DD68" s="21">
        <f t="shared" ca="1" si="88"/>
        <v>4.1431966203133207E-3</v>
      </c>
      <c r="DE68" s="21">
        <f t="shared" ca="1" si="89"/>
        <v>8.1608418278898733E-3</v>
      </c>
      <c r="DF68" s="21">
        <f t="shared" ca="1" si="90"/>
        <v>1.584163413649211E-2</v>
      </c>
      <c r="DG68" s="21">
        <f t="shared" ca="1" si="91"/>
        <v>2.9923086702262871E-2</v>
      </c>
      <c r="DH68" s="21">
        <f t="shared" ca="1" si="92"/>
        <v>5.3861556064073168E-2</v>
      </c>
      <c r="DI68" s="21">
        <f t="shared" ca="1" si="93"/>
        <v>8.9769260106788609E-2</v>
      </c>
      <c r="DJ68" s="21">
        <f t="shared" ca="1" si="94"/>
        <v>0.13465389016018292</v>
      </c>
      <c r="DL68" s="16" cm="1">
        <f t="array" aca="1" ref="DL68" ca="1">MAX(_xlfn._xlws.FILTER(CW68:DJ68,CW68:DJ68&lt;BU68))</f>
        <v>-4.1431966203133207E-3</v>
      </c>
      <c r="DM68" s="16" cm="1">
        <f t="array" aca="1" ref="DM68" ca="1">MIN(_xlfn._xlws.FILTER(CW68:DJ68,CW68:DJ68&gt;BU68))</f>
        <v>4.1431966203133207E-3</v>
      </c>
      <c r="DN68" s="2" cm="1">
        <f t="array" aca="1" ref="DN68" ca="1">_FV(EC68,"Fechamento anterior",TRUE)</f>
        <v>23.61</v>
      </c>
      <c r="DO68" s="28">
        <f t="shared" ca="1" si="15"/>
        <v>0.70445534321104586</v>
      </c>
      <c r="DP68" s="15">
        <f t="shared" ca="1" si="95"/>
        <v>23.512179127794401</v>
      </c>
      <c r="DQ68" s="15">
        <f t="shared" ca="1" si="96"/>
        <v>23.707820872205598</v>
      </c>
      <c r="DR68" s="9"/>
      <c r="DS68" s="9"/>
      <c r="DT68" s="9"/>
      <c r="DU68" s="89">
        <v>9.6485633452713868E-3</v>
      </c>
      <c r="DV68" s="89">
        <f t="shared" ca="1" si="18"/>
        <v>8.2863932406266414E-3</v>
      </c>
      <c r="DW68" s="72">
        <f t="shared" ca="1" si="19"/>
        <v>0.15412604330759405</v>
      </c>
      <c r="DX68" s="37"/>
      <c r="DY68" s="35">
        <f t="shared" si="39"/>
        <v>1.7193719783688453</v>
      </c>
      <c r="DZ68" s="56"/>
      <c r="EA68" s="56"/>
      <c r="EC68" s="2" t="e" vm="68">
        <v>#VALUE!</v>
      </c>
      <c r="EE68" s="10" cm="1">
        <f t="array" aca="1" ref="EE68" ca="1">_FV(EC68,"Ações em circulação",TRUE)</f>
        <v>280335100</v>
      </c>
      <c r="EF68" s="18">
        <f>VLOOKUP(BP68,Fundamentus!A:U,5,FALSE)</f>
        <v>1.4750000000000001</v>
      </c>
      <c r="EG68" s="2">
        <f t="shared" ca="1" si="20"/>
        <v>4494864484.7457628</v>
      </c>
      <c r="EH68" s="17">
        <v>338463295.70135599</v>
      </c>
      <c r="EI68" s="17">
        <f t="shared" ca="1" si="21"/>
        <v>338463295.70135599</v>
      </c>
      <c r="EK68" s="16">
        <f t="shared" ca="1" si="97"/>
        <v>0</v>
      </c>
      <c r="EL68" s="32" t="str">
        <f>IF(VLOOKUP(BP68,Fundamentus!A:U,3,FALSE)&lt;15,"Bom",IF(VLOOKUP(BP68,Fundamentus!A:U,3,FALSE)&gt;15,"Ruim","n/a"))</f>
        <v>Ruim</v>
      </c>
      <c r="EM68" s="28" t="str">
        <f>IF(VLOOKUP(BP68,Fundamentus!A:U,4,FALSE)&lt;1,"Baixo",IF(VLOOKUP(BP68,Fundamentus!A:U,4,FALSE)&lt;1.5,"Moderado",IF(VLOOKUP(BP68,Fundamentus!A:U,4,FALSE)&gt;1.5,"Alto","n/a")))</f>
        <v>Alto</v>
      </c>
      <c r="EN68" s="17" t="str">
        <f>IF(VLOOKUP(BP68,Fundamentus!A:U,8,FALSE)&lt;0,"Risco elevado",IF(VLOOKUP(BP68,Fundamentus!A:U,8,FALSE)&lt;1,"Saudável",IF(VLOOKUP(BP68,Fundamentus!A:U,8,FALSE)&lt;3,"Estável",IF(VLOOKUP(BP68,Fundamentus!A:U,8,FALSE)&gt;3,"Alerta","n/a"))))</f>
        <v>Alerta</v>
      </c>
      <c r="EO68" s="28" t="str">
        <f t="shared" si="23"/>
        <v>Bom</v>
      </c>
      <c r="EP68" s="17" t="str">
        <f>IF(VLOOKUP(BP68,Fundamentus!A:U,12,FALSE)&lt;2,"Subvalorizada",IF(VLOOKUP(BP68,Fundamentus!A:U,12,FALSE)&lt;6,"Muita barata",IF(VLOOKUP(BP68,Fundamentus!A:U,12,FALSE)&lt;6,"Barata",IF(VLOOKUP(BP68,Fundamentus!A:U,12,FALSE)&lt;8,"Atrativa",IF(VLOOKUP(BP68,Fundamentus!A:U,12,FALSE)&gt;8,"Supervalorizada","n/a")))))</f>
        <v>Supervalorizada</v>
      </c>
      <c r="ER68" s="17" t="str">
        <f>IF(VLOOKUP(BP68,Fundamentus!A:U,17,FALSE)&lt;0.1,"Fraco retorno",IF(VLOOKUP(BP68,Fundamentus!A:U,17,FALSE)&gt;0.1,"Bom retorno","n/a"))</f>
        <v>Bom retorno</v>
      </c>
      <c r="ES68" s="17" t="str">
        <f>IF(VLOOKUP(BP68,Fundamentus!A:U,16,FALSE)&lt;0.1,"Ineficiente",IF(VLOOKUP(BP68,Fundamentus!A:U,16,FALSE)&gt;0.1,"Eficiente","n/a"))</f>
        <v>Eficiente</v>
      </c>
      <c r="ET68" s="33" t="str">
        <f>IF(VLOOKUP(BP68,Fundamentus!A:U,16,FALSE)&lt;0.1,"Oper. Ineficiente",IF(VLOOKUP(BP68,Fundamentus!A:U,16,FALSE)&gt;0.1,"Oper.Eficiente","n/a"))</f>
        <v>Oper.Eficiente</v>
      </c>
      <c r="EU68" s="34">
        <f>VLOOKUP(BP68,Fundamentus!A:U,14,FALSE)</f>
        <v>7.5300000000000006E-2</v>
      </c>
      <c r="EV68" s="17" t="str">
        <f>IF(VLOOKUP(BP68,Fundamentus!A:U,21,FALSE)&lt;0,"Negativo",IF(VLOOKUP(BP68,Fundamentus!A:U,21,FALSE)&lt;0.05,"Fraco",IF(VLOOKUP(BP68,Fundamentus!A:U,21,FALSE)&lt;0.1,"Bom",IF(VLOOKUP(BP68,Fundamentus!A:U,21,FALSE)&gt;0.1,"Muito bom","n/a"))))</f>
        <v>Muito bom</v>
      </c>
      <c r="EX68" s="29" t="str">
        <f>IF(VLOOKUP(BP68,Fundamentus!A:U,15,FALSE)&gt;1,"Bom",IF(VLOOKUP(BP68,Fundamentus!A:U,15,FALSE)&lt;1,"Ruim","n/a"))</f>
        <v>Bom</v>
      </c>
      <c r="EY68" s="17" t="str">
        <f>IF(VLOOKUP(BP68,Fundamentus!A:U,20,FALSE)&lt;0.5,"Baixa",IF(VLOOKUP(BP68,Fundamentus!A:U,20,FALSE)&lt;1,"Moderada",IF(VLOOKUP(BP68,Fundamentus!A:U,20,FALSE)&lt;2,"Alerta",IF(VLOOKUP(BP68,Fundamentus!A:U,20,FALSE)&gt;2,"Alta","n/a"))))</f>
        <v>Alerta</v>
      </c>
    </row>
    <row r="69" spans="1:156" s="2" customFormat="1" ht="11.25" x14ac:dyDescent="0.2">
      <c r="A69" s="4">
        <v>9.69</v>
      </c>
      <c r="B69" s="4">
        <v>9.68</v>
      </c>
      <c r="C69" s="4">
        <v>9.74</v>
      </c>
      <c r="D69" s="4">
        <v>9.7899999999999991</v>
      </c>
      <c r="E69" s="4">
        <v>9.64</v>
      </c>
      <c r="F69" s="4">
        <v>9.8699999999999992</v>
      </c>
      <c r="G69" s="4">
        <v>9.73</v>
      </c>
      <c r="H69" s="4">
        <v>9.93</v>
      </c>
      <c r="I69" s="4">
        <v>9.9600000000000009</v>
      </c>
      <c r="J69" s="4">
        <v>10.14</v>
      </c>
      <c r="K69" s="4">
        <v>10.49</v>
      </c>
      <c r="L69" s="4">
        <v>10.199999999999999</v>
      </c>
      <c r="M69" s="4">
        <v>10.32</v>
      </c>
      <c r="N69" s="4">
        <v>10.050000000000001</v>
      </c>
      <c r="O69" s="4">
        <v>10.32</v>
      </c>
      <c r="P69" s="4">
        <v>10.17</v>
      </c>
      <c r="Q69" s="4">
        <v>10.47</v>
      </c>
      <c r="R69" s="4">
        <v>10.45</v>
      </c>
      <c r="S69" s="4">
        <v>10.28</v>
      </c>
      <c r="T69" s="4">
        <v>10.39</v>
      </c>
      <c r="U69" s="4">
        <v>10.18</v>
      </c>
      <c r="V69" s="4">
        <v>10.130000000000001</v>
      </c>
      <c r="W69" s="4">
        <v>9.7100000000000009</v>
      </c>
      <c r="X69" s="4">
        <v>9.6</v>
      </c>
      <c r="Y69" s="4">
        <v>9.58</v>
      </c>
      <c r="Z69" s="4">
        <v>9.65</v>
      </c>
      <c r="AA69" s="4">
        <v>9.3000000000000007</v>
      </c>
      <c r="AB69" s="4">
        <v>9.39</v>
      </c>
      <c r="AC69" s="4">
        <v>9.5</v>
      </c>
      <c r="AD69" s="4">
        <v>9.4499999999999993</v>
      </c>
      <c r="AE69" s="4">
        <v>9.17</v>
      </c>
      <c r="AF69" s="4">
        <v>9.01</v>
      </c>
      <c r="AG69" s="4">
        <v>9.07</v>
      </c>
      <c r="AH69" s="4">
        <v>8.83</v>
      </c>
      <c r="AI69" s="4">
        <v>8.75</v>
      </c>
      <c r="AJ69" s="4">
        <v>8.69</v>
      </c>
      <c r="AK69" s="4">
        <v>8.9600000000000009</v>
      </c>
      <c r="AL69" s="4">
        <v>9.02</v>
      </c>
      <c r="AM69" s="4">
        <v>8.9700000000000006</v>
      </c>
      <c r="AN69" s="4">
        <v>9.2100000000000009</v>
      </c>
      <c r="AO69" s="4">
        <v>9.17</v>
      </c>
      <c r="AP69" s="4">
        <v>9.57</v>
      </c>
      <c r="AQ69" s="4">
        <v>9.35</v>
      </c>
      <c r="AR69" s="4">
        <v>9.1</v>
      </c>
      <c r="AS69" s="4">
        <v>9.2899999999999991</v>
      </c>
      <c r="AT69" s="4">
        <v>9.67</v>
      </c>
      <c r="AU69" s="4">
        <v>9.7899999999999991</v>
      </c>
      <c r="AV69" s="4">
        <v>9.64</v>
      </c>
      <c r="AW69" s="4">
        <v>9.7799999999999994</v>
      </c>
      <c r="AX69" s="4">
        <v>9.81</v>
      </c>
      <c r="AY69" s="12">
        <v>9.51</v>
      </c>
      <c r="AZ69" s="12">
        <v>9.99</v>
      </c>
      <c r="BA69" s="12">
        <v>9.9600000000000009</v>
      </c>
      <c r="BB69" s="15">
        <v>9.84</v>
      </c>
      <c r="BC69" s="52">
        <v>9.9</v>
      </c>
      <c r="BD69" s="52">
        <v>9.99</v>
      </c>
      <c r="BE69" s="52">
        <v>10.14</v>
      </c>
      <c r="BF69" s="52">
        <v>9.61</v>
      </c>
      <c r="BG69" s="67">
        <v>9.6300000000000008</v>
      </c>
      <c r="BH69" s="52">
        <v>9.6199999999999992</v>
      </c>
      <c r="BI69" s="52">
        <v>9.83</v>
      </c>
      <c r="BJ69" s="52">
        <v>9.86</v>
      </c>
      <c r="BK69" s="52">
        <v>9.6199999999999992</v>
      </c>
      <c r="BL69" s="52">
        <v>9.5500000000000007</v>
      </c>
      <c r="BM69" s="52">
        <v>9.49</v>
      </c>
      <c r="BN69" s="52">
        <v>9.4600000000000009</v>
      </c>
      <c r="BO69" s="52" cm="1">
        <f t="array" aca="1" ref="BO69" ca="1">_FV(EC69,"Preço")</f>
        <v>9.4600000000000009</v>
      </c>
      <c r="BP69" s="69" t="s">
        <v>66</v>
      </c>
      <c r="BQ69" s="36" cm="1">
        <f t="array" aca="1" ref="BQ69" ca="1">_FV(EC69,"Média de volume",TRUE)</f>
        <v>1080820</v>
      </c>
      <c r="BR69" s="36">
        <v>23500</v>
      </c>
      <c r="BS69" s="36" cm="1">
        <f t="array" aca="1" ref="BS69" ca="1">_FV(EC69,"Volume")</f>
        <v>23500</v>
      </c>
      <c r="BT69" s="24" cm="1">
        <f t="array" aca="1" ref="BT69" ca="1">_FV(EC69,"Beta")</f>
        <v>0.62539999999999996</v>
      </c>
      <c r="BU69" s="71" cm="1">
        <f t="array" aca="1" ref="BU69" ca="1">_FV(EC69,"Variação (%)",TRUE)</f>
        <v>-3.1609999999999997E-3</v>
      </c>
      <c r="BW69" s="17" cm="1">
        <f t="array" aca="1" ref="BW69" ca="1">_FV(EC69,"Baixo")</f>
        <v>9.41</v>
      </c>
      <c r="BX69" s="17" cm="1">
        <f t="array" aca="1" ref="BX69" ca="1">_FV(EC69,"Alto")</f>
        <v>9.67</v>
      </c>
      <c r="BY69" s="24"/>
      <c r="BZ69" s="63">
        <f ca="1">SQRT(22.5*(BO69/VLOOKUP(BP69,Fundamentus!A:U,3,FALSE))*(BO69/VLOOKUP(BP69,Fundamentus!A:U,4,FALSE)))</f>
        <v>14.757011147975694</v>
      </c>
      <c r="CB69" s="62">
        <f t="shared" ca="1" si="24"/>
        <v>0</v>
      </c>
      <c r="CC69" s="8"/>
      <c r="CD69" s="61">
        <f t="shared" si="25"/>
        <v>8.69</v>
      </c>
      <c r="CE69" s="61">
        <f t="shared" si="26"/>
        <v>10.49</v>
      </c>
      <c r="CF69" s="61">
        <f t="shared" si="27"/>
        <v>9.6765151515151526</v>
      </c>
      <c r="CG69" s="14"/>
      <c r="CH69" s="35">
        <f t="shared" si="1"/>
        <v>9.1091748786407845</v>
      </c>
      <c r="CI69" s="15">
        <f t="shared" si="28"/>
        <v>9.3949999999999818</v>
      </c>
      <c r="CJ69" s="35">
        <f t="shared" si="2"/>
        <v>9.6808251213591792</v>
      </c>
      <c r="CL69" s="14"/>
      <c r="CM69" s="17">
        <f t="shared" si="3"/>
        <v>6.8033333333333328</v>
      </c>
      <c r="CN69" s="17">
        <f t="shared" si="4"/>
        <v>7.7466666666666661</v>
      </c>
      <c r="CO69" s="17">
        <f t="shared" si="5"/>
        <v>8.6033333333333335</v>
      </c>
      <c r="CP69" s="38">
        <f t="shared" si="29"/>
        <v>9.5466666666666669</v>
      </c>
      <c r="CQ69" s="17">
        <f t="shared" si="6"/>
        <v>10.403333333333334</v>
      </c>
      <c r="CR69" s="17">
        <f t="shared" si="7"/>
        <v>11.346666666666668</v>
      </c>
      <c r="CS69" s="17">
        <f t="shared" si="8"/>
        <v>12.203333333333335</v>
      </c>
      <c r="CT69" s="2" cm="1">
        <f t="array" aca="1" ref="CT69" ca="1">MAX(_xlfn._xlws.FILTER(CM69:CS69,CM69:CS69&lt;BO69))</f>
        <v>8.6033333333333335</v>
      </c>
      <c r="CU69" s="2" cm="1">
        <f t="array" aca="1" ref="CU69" ca="1">MIN(_xlfn._xlws.FILTER($CM69:$CS69,$CM69:$CS69&gt;BO69))</f>
        <v>9.5466666666666669</v>
      </c>
      <c r="CV69" s="16">
        <f t="shared" ca="1" si="80"/>
        <v>0.1096474234792717</v>
      </c>
      <c r="CW69" s="20">
        <f t="shared" ca="1" si="81"/>
        <v>-5.482371173963585E-2</v>
      </c>
      <c r="CX69" s="20">
        <f t="shared" ca="1" si="82"/>
        <v>-3.6549141159757235E-2</v>
      </c>
      <c r="CY69" s="20">
        <f t="shared" ca="1" si="83"/>
        <v>-2.1929484695854339E-2</v>
      </c>
      <c r="CZ69" s="20">
        <f t="shared" ca="1" si="84"/>
        <v>-1.2183047053252412E-2</v>
      </c>
      <c r="DA69" s="20">
        <f t="shared" ca="1" si="85"/>
        <v>-6.4498484399571586E-3</v>
      </c>
      <c r="DB69" s="20">
        <f t="shared" ca="1" si="86"/>
        <v>-3.3226491963415667E-3</v>
      </c>
      <c r="DC69" s="20">
        <f t="shared" ca="1" si="87"/>
        <v>-1.6868834381426414E-3</v>
      </c>
      <c r="DD69" s="21">
        <f t="shared" ca="1" si="88"/>
        <v>1.6868834381426414E-3</v>
      </c>
      <c r="DE69" s="21">
        <f t="shared" ca="1" si="89"/>
        <v>3.3226491963415667E-3</v>
      </c>
      <c r="DF69" s="21">
        <f t="shared" ca="1" si="90"/>
        <v>6.4498484399571586E-3</v>
      </c>
      <c r="DG69" s="21">
        <f t="shared" ca="1" si="91"/>
        <v>1.2183047053252412E-2</v>
      </c>
      <c r="DH69" s="21">
        <f t="shared" ca="1" si="92"/>
        <v>2.1929484695854339E-2</v>
      </c>
      <c r="DI69" s="21">
        <f t="shared" ca="1" si="93"/>
        <v>3.6549141159757235E-2</v>
      </c>
      <c r="DJ69" s="21">
        <f t="shared" ca="1" si="94"/>
        <v>5.482371173963585E-2</v>
      </c>
      <c r="DL69" s="16" cm="1">
        <f t="array" aca="1" ref="DL69" ca="1">MAX(_xlfn._xlws.FILTER(CW69:DJ69,CW69:DJ69&lt;BU69))</f>
        <v>-3.3226491963415667E-3</v>
      </c>
      <c r="DM69" s="16" cm="1">
        <f t="array" aca="1" ref="DM69" ca="1">MIN(_xlfn._xlws.FILTER(CW69:DJ69,CW69:DJ69&gt;BU69))</f>
        <v>-1.6868834381426414E-3</v>
      </c>
      <c r="DN69" s="2" cm="1">
        <f t="array" aca="1" ref="DN69" ca="1">_FV(EC69,"Fechamento anterior",TRUE)</f>
        <v>9.49</v>
      </c>
      <c r="DO69" s="28">
        <f t="shared" ca="1" si="15"/>
        <v>9.8685802797820216E-2</v>
      </c>
      <c r="DP69" s="15">
        <f t="shared" ca="1" si="95"/>
        <v>9.4584680591267194</v>
      </c>
      <c r="DQ69" s="15">
        <f t="shared" ca="1" si="96"/>
        <v>9.4739914761720261</v>
      </c>
      <c r="DR69" s="9"/>
      <c r="DS69" s="9"/>
      <c r="DT69" s="9"/>
      <c r="DU69" s="89">
        <v>9.3711256466162251E-3</v>
      </c>
      <c r="DV69" s="89">
        <f t="shared" ca="1" si="18"/>
        <v>1.6357657581989253E-3</v>
      </c>
      <c r="DW69" s="72">
        <f t="shared" ca="1" si="19"/>
        <v>0.227411781340008</v>
      </c>
      <c r="DX69" s="37"/>
      <c r="DY69" s="35">
        <f t="shared" si="39"/>
        <v>0.14291256067959829</v>
      </c>
      <c r="DZ69" s="56"/>
      <c r="EA69" s="56"/>
      <c r="EC69" s="2" t="e" vm="69">
        <v>#VALUE!</v>
      </c>
      <c r="EE69" s="10" cm="1">
        <f t="array" aca="1" ref="EE69" ca="1">_FV(EC69,"Ações em circulação",TRUE)</f>
        <v>109875600</v>
      </c>
      <c r="EF69" s="18">
        <f>VLOOKUP(BP69,Fundamentus!A:U,5,FALSE)</f>
        <v>2.226</v>
      </c>
      <c r="EG69" s="2">
        <f t="shared" ca="1" si="20"/>
        <v>466946619.94609171</v>
      </c>
      <c r="EH69" s="17">
        <v>214468582.54123992</v>
      </c>
      <c r="EI69" s="17">
        <f t="shared" ca="1" si="21"/>
        <v>214468582.54123992</v>
      </c>
      <c r="EK69" s="16">
        <f t="shared" ca="1" si="97"/>
        <v>0</v>
      </c>
      <c r="EL69" s="39" t="str">
        <f>IF(VLOOKUP(BP69,Fundamentus!A:U,3,FALSE)&lt;15,"Bom",IF(VLOOKUP(BP69,Fundamentus!A:U,3,FALSE)&gt;15,"Ruim","n/a"))</f>
        <v>Bom</v>
      </c>
      <c r="EM69" s="40" t="str">
        <f>IF(VLOOKUP(BP69,Fundamentus!A:U,4,FALSE)&lt;1,"Baixo",IF(VLOOKUP(BP69,Fundamentus!A:U,4,FALSE)&lt;1.5,"Moderado",IF(VLOOKUP(BP69,Fundamentus!A:U,4,FALSE)&gt;1.5,"Alto","n/a")))</f>
        <v>Moderado</v>
      </c>
      <c r="EN69" s="41" t="str">
        <f>IF(VLOOKUP(BP69,Fundamentus!A:U,8,FALSE)&lt;0,"Risco elevado",IF(VLOOKUP(BP69,Fundamentus!A:U,8,FALSE)&lt;1,"Saudável",IF(VLOOKUP(BP69,Fundamentus!A:U,8,FALSE)&lt;3,"Estável",IF(VLOOKUP(BP69,Fundamentus!A:U,8,FALSE)&gt;3,"Alerta","n/a"))))</f>
        <v>Estável</v>
      </c>
      <c r="EO69" s="40" t="str">
        <f t="shared" si="23"/>
        <v>Bom</v>
      </c>
      <c r="EP69" s="41" t="str">
        <f>IF(VLOOKUP(BP69,Fundamentus!A:U,12,FALSE)&lt;2,"Subvalorizada",IF(VLOOKUP(BP69,Fundamentus!A:U,12,FALSE)&lt;6,"Muita barata",IF(VLOOKUP(BP69,Fundamentus!A:U,12,FALSE)&lt;6,"Barata",IF(VLOOKUP(BP69,Fundamentus!A:U,12,FALSE)&lt;8,"Atrativa",IF(VLOOKUP(BP69,Fundamentus!A:U,12,FALSE)&gt;8,"Supervalorizada","n/a")))))</f>
        <v>Atrativa</v>
      </c>
      <c r="ER69" s="41" t="str">
        <f>IF(VLOOKUP(BP69,Fundamentus!A:U,17,FALSE)&lt;0.1,"Fraco retorno",IF(VLOOKUP(BP69,Fundamentus!A:U,17,FALSE)&gt;0.1,"Bom retorno","n/a"))</f>
        <v>Bom retorno</v>
      </c>
      <c r="ES69" s="41" t="str">
        <f>IF(VLOOKUP(BP69,Fundamentus!A:U,16,FALSE)&lt;0.1,"Ineficiente",IF(VLOOKUP(BP69,Fundamentus!A:U,16,FALSE)&gt;0.1,"Eficiente","n/a"))</f>
        <v>Eficiente</v>
      </c>
      <c r="ET69" s="42" t="str">
        <f>IF(VLOOKUP(BP69,Fundamentus!A:U,16,FALSE)&lt;0.1,"Oper. Ineficiente",IF(VLOOKUP(BP69,Fundamentus!A:U,16,FALSE)&gt;0.1,"Oper.Eficiente","n/a"))</f>
        <v>Oper.Eficiente</v>
      </c>
      <c r="EU69" s="43">
        <f>VLOOKUP(BP69,Fundamentus!A:U,14,FALSE)</f>
        <v>0.45929999999999999</v>
      </c>
      <c r="EV69" s="41" t="str">
        <f>IF(VLOOKUP(BP69,Fundamentus!A:U,21,FALSE)&lt;0,"Negativo",IF(VLOOKUP(BP69,Fundamentus!A:U,21,FALSE)&lt;0.05,"Fraco",IF(VLOOKUP(BP69,Fundamentus!A:U,21,FALSE)&lt;0.1,"Bom",IF(VLOOKUP(BP69,Fundamentus!A:U,21,FALSE)&gt;0.1,"Muito bom","n/a"))))</f>
        <v>Negativo</v>
      </c>
      <c r="EX69" s="44" t="str">
        <f>IF(VLOOKUP(BP69,Fundamentus!A:U,15,FALSE)&gt;1,"Bom",IF(VLOOKUP(BP69,Fundamentus!A:U,15,FALSE)&lt;1,"Ruim","n/a"))</f>
        <v>Bom</v>
      </c>
      <c r="EY69" s="41" t="str">
        <f>IF(VLOOKUP(BP69,Fundamentus!A:U,20,FALSE)&lt;0.5,"Baixa",IF(VLOOKUP(BP69,Fundamentus!A:U,20,FALSE)&lt;1,"Moderada",IF(VLOOKUP(BP69,Fundamentus!A:U,20,FALSE)&lt;2,"Alerta",IF(VLOOKUP(BP69,Fundamentus!A:U,20,FALSE)&gt;2,"Alta","n/a"))))</f>
        <v>Alerta</v>
      </c>
    </row>
    <row r="70" spans="1:156" s="2" customFormat="1" ht="11.25" x14ac:dyDescent="0.2">
      <c r="A70" s="4">
        <v>4.71</v>
      </c>
      <c r="B70" s="4">
        <v>4.84</v>
      </c>
      <c r="C70" s="4">
        <v>4.84</v>
      </c>
      <c r="D70" s="4">
        <v>4.6399999999999997</v>
      </c>
      <c r="E70" s="4">
        <v>4.7</v>
      </c>
      <c r="F70" s="4">
        <v>4.71</v>
      </c>
      <c r="G70" s="4">
        <v>4.63</v>
      </c>
      <c r="H70" s="4">
        <v>4.6500000000000004</v>
      </c>
      <c r="I70" s="4">
        <v>4.8499999999999996</v>
      </c>
      <c r="J70" s="4">
        <v>5.15</v>
      </c>
      <c r="K70" s="4">
        <v>5.19</v>
      </c>
      <c r="L70" s="4">
        <v>5.05</v>
      </c>
      <c r="M70" s="4">
        <v>5.01</v>
      </c>
      <c r="N70" s="4">
        <v>4.78</v>
      </c>
      <c r="O70" s="4">
        <v>4.79</v>
      </c>
      <c r="P70" s="4">
        <v>4.66</v>
      </c>
      <c r="Q70" s="4">
        <v>4.8</v>
      </c>
      <c r="R70" s="4">
        <v>4.62</v>
      </c>
      <c r="S70" s="4">
        <v>4.6399999999999997</v>
      </c>
      <c r="T70" s="4">
        <v>4.8600000000000003</v>
      </c>
      <c r="U70" s="4">
        <v>4.9000000000000004</v>
      </c>
      <c r="V70" s="4">
        <v>4.84</v>
      </c>
      <c r="W70" s="4">
        <v>4.9400000000000004</v>
      </c>
      <c r="X70" s="4">
        <v>4.93</v>
      </c>
      <c r="Y70" s="4">
        <v>5.19</v>
      </c>
      <c r="Z70" s="4">
        <v>5.27</v>
      </c>
      <c r="AA70" s="4">
        <v>5.2</v>
      </c>
      <c r="AB70" s="4">
        <v>5.53</v>
      </c>
      <c r="AC70" s="4">
        <v>5.6</v>
      </c>
      <c r="AD70" s="4">
        <v>5.52</v>
      </c>
      <c r="AE70" s="4">
        <v>5.3</v>
      </c>
      <c r="AF70" s="4">
        <v>5.0199999999999996</v>
      </c>
      <c r="AG70" s="4">
        <v>4.87</v>
      </c>
      <c r="AH70" s="4">
        <v>4.34</v>
      </c>
      <c r="AI70" s="4">
        <v>4.4000000000000004</v>
      </c>
      <c r="AJ70" s="4">
        <v>4.22</v>
      </c>
      <c r="AK70" s="4">
        <v>4.32</v>
      </c>
      <c r="AL70" s="4">
        <v>4.88</v>
      </c>
      <c r="AM70" s="4">
        <v>5.16</v>
      </c>
      <c r="AN70" s="4">
        <v>5.31</v>
      </c>
      <c r="AO70" s="4">
        <v>5.26</v>
      </c>
      <c r="AP70" s="4">
        <v>5.49</v>
      </c>
      <c r="AQ70" s="4">
        <v>5.85</v>
      </c>
      <c r="AR70" s="4">
        <v>5.58</v>
      </c>
      <c r="AS70" s="4">
        <v>5.97</v>
      </c>
      <c r="AT70" s="4">
        <v>6.43</v>
      </c>
      <c r="AU70" s="4">
        <v>6.51</v>
      </c>
      <c r="AV70" s="4">
        <v>6.26</v>
      </c>
      <c r="AW70" s="4">
        <v>6.28</v>
      </c>
      <c r="AX70" s="4">
        <v>6.29</v>
      </c>
      <c r="AY70" s="12">
        <v>6.65</v>
      </c>
      <c r="AZ70" s="12">
        <v>7.02</v>
      </c>
      <c r="BA70" s="12">
        <v>6.96</v>
      </c>
      <c r="BB70" s="15">
        <v>7</v>
      </c>
      <c r="BC70" s="52">
        <v>7.13</v>
      </c>
      <c r="BD70" s="52">
        <v>7.17</v>
      </c>
      <c r="BE70" s="52">
        <v>7.79</v>
      </c>
      <c r="BF70" s="52">
        <v>7.8</v>
      </c>
      <c r="BG70" s="67">
        <v>7.64</v>
      </c>
      <c r="BH70" s="52">
        <v>7.78</v>
      </c>
      <c r="BI70" s="52">
        <v>7.2</v>
      </c>
      <c r="BJ70" s="52">
        <v>6.96</v>
      </c>
      <c r="BK70" s="52">
        <v>6.7</v>
      </c>
      <c r="BL70" s="52">
        <v>6.3</v>
      </c>
      <c r="BM70" s="52">
        <v>6.2</v>
      </c>
      <c r="BN70" s="52">
        <v>6.4</v>
      </c>
      <c r="BO70" s="52" cm="1">
        <f t="array" aca="1" ref="BO70" ca="1">_FV(EC70,"Preço")</f>
        <v>6.4</v>
      </c>
      <c r="BP70" s="69" t="s">
        <v>117</v>
      </c>
      <c r="BQ70" s="36" cm="1">
        <f t="array" aca="1" ref="BQ70" ca="1">_FV(EC70,"Média de volume",TRUE)</f>
        <v>387000</v>
      </c>
      <c r="BR70" s="36">
        <v>355500</v>
      </c>
      <c r="BS70" s="36" cm="1">
        <f t="array" aca="1" ref="BS70" ca="1">_FV(EC70,"Volume")</f>
        <v>355500</v>
      </c>
      <c r="BT70" s="24" cm="1">
        <f t="array" aca="1" ref="BT70" ca="1">_FV(EC70,"Beta")</f>
        <v>1.5283</v>
      </c>
      <c r="BU70" s="71" cm="1">
        <f t="array" aca="1" ref="BU70" ca="1">_FV(EC70,"Variação (%)",TRUE)</f>
        <v>3.0596000000000002E-2</v>
      </c>
      <c r="BW70" s="17" cm="1">
        <f t="array" aca="1" ref="BW70" ca="1">_FV(EC70,"Baixo")</f>
        <v>6.21</v>
      </c>
      <c r="BX70" s="17" cm="1">
        <f t="array" aca="1" ref="BX70" ca="1">_FV(EC70,"Alto")</f>
        <v>6.48</v>
      </c>
      <c r="BY70" s="24"/>
      <c r="BZ70" s="60">
        <f ca="1">SQRT(22.5*(BO70/VLOOKUP(BP70,Fundamentus!A:U,3,FALSE))*(BO70/VLOOKUP(BP70,Fundamentus!A:U,4,FALSE)))</f>
        <v>13.545062023033918</v>
      </c>
      <c r="CB70" s="62">
        <f t="shared" ca="1" si="24"/>
        <v>0</v>
      </c>
      <c r="CC70" s="8"/>
      <c r="CD70" s="61">
        <f t="shared" si="25"/>
        <v>4.22</v>
      </c>
      <c r="CE70" s="61">
        <f t="shared" si="26"/>
        <v>7.8</v>
      </c>
      <c r="CF70" s="61">
        <f t="shared" si="27"/>
        <v>5.5830303030303012</v>
      </c>
      <c r="CG70" s="14"/>
      <c r="CH70" s="35">
        <f t="shared" ref="CH70:CH133" si="98">CI70-DY70*2</f>
        <v>5.5908005722463363</v>
      </c>
      <c r="CI70" s="15">
        <f t="shared" si="28"/>
        <v>6.1499999999999773</v>
      </c>
      <c r="CJ70" s="35">
        <f t="shared" ref="CJ70:CJ133" si="99">CI70+DY70*2</f>
        <v>6.7091994277536182</v>
      </c>
      <c r="CL70" s="14"/>
      <c r="CM70" s="17">
        <f t="shared" ref="CM70:CM133" si="100">CD70-2*(CE70-CP70)</f>
        <v>0.90000000000000124</v>
      </c>
      <c r="CN70" s="17">
        <f t="shared" ref="CN70:CN133" si="101">CP70-(CE70-CD70)</f>
        <v>2.5600000000000005</v>
      </c>
      <c r="CO70" s="17">
        <f t="shared" ref="CO70:CO133" si="102">2*CP70-CE70</f>
        <v>4.4800000000000013</v>
      </c>
      <c r="CP70" s="38">
        <f t="shared" si="29"/>
        <v>6.1400000000000006</v>
      </c>
      <c r="CQ70" s="17">
        <f t="shared" ref="CQ70:CQ133" si="103">2*CP70-CD70</f>
        <v>8.0600000000000023</v>
      </c>
      <c r="CR70" s="17">
        <f t="shared" ref="CR70:CR133" si="104">CP70+(CE70-CD70)</f>
        <v>9.7200000000000006</v>
      </c>
      <c r="CS70" s="17">
        <f t="shared" ref="CS70:CS133" si="105">CE70+2*(CP70-CD70)</f>
        <v>11.64</v>
      </c>
      <c r="CT70" s="2" cm="1">
        <f t="array" aca="1" ref="CT70" ca="1">MAX(_xlfn._xlws.FILTER(CM70:CS70,CM70:CS70&lt;BO70))</f>
        <v>6.1400000000000006</v>
      </c>
      <c r="CU70" s="2" cm="1">
        <f t="array" aca="1" ref="CU70" ca="1">MIN(_xlfn._xlws.FILTER($CM70:$CS70,$CM70:$CS70&gt;BO70))</f>
        <v>8.0600000000000023</v>
      </c>
      <c r="CV70" s="16">
        <f t="shared" ca="1" si="80"/>
        <v>0.31270358306188939</v>
      </c>
      <c r="CW70" s="20">
        <f t="shared" ca="1" si="81"/>
        <v>-0.15635179153094469</v>
      </c>
      <c r="CX70" s="20">
        <f t="shared" ca="1" si="82"/>
        <v>-0.10423452768729646</v>
      </c>
      <c r="CY70" s="20">
        <f t="shared" ca="1" si="83"/>
        <v>-6.2540716612377881E-2</v>
      </c>
      <c r="CZ70" s="20">
        <f t="shared" ca="1" si="84"/>
        <v>-3.4744842562432154E-2</v>
      </c>
      <c r="DA70" s="20">
        <f t="shared" ca="1" si="85"/>
        <v>-1.8394328415405257E-2</v>
      </c>
      <c r="DB70" s="20">
        <f t="shared" ca="1" si="86"/>
        <v>-9.4758661533905879E-3</v>
      </c>
      <c r="DC70" s="20">
        <f t="shared" ca="1" si="87"/>
        <v>-4.8108243547982984E-3</v>
      </c>
      <c r="DD70" s="21">
        <f t="shared" ca="1" si="88"/>
        <v>4.8108243547982984E-3</v>
      </c>
      <c r="DE70" s="21">
        <f t="shared" ca="1" si="89"/>
        <v>9.4758661533905879E-3</v>
      </c>
      <c r="DF70" s="21">
        <f t="shared" ca="1" si="90"/>
        <v>1.8394328415405257E-2</v>
      </c>
      <c r="DG70" s="21">
        <f t="shared" ca="1" si="91"/>
        <v>3.4744842562432154E-2</v>
      </c>
      <c r="DH70" s="21">
        <f t="shared" ca="1" si="92"/>
        <v>6.2540716612377881E-2</v>
      </c>
      <c r="DI70" s="21">
        <f t="shared" ca="1" si="93"/>
        <v>0.10423452768729646</v>
      </c>
      <c r="DJ70" s="21">
        <f t="shared" ca="1" si="94"/>
        <v>0.15635179153094469</v>
      </c>
      <c r="DL70" s="23" cm="1">
        <f t="array" aca="1" ref="DL70" ca="1">MAX(_xlfn._xlws.FILTER(CW70:DJ70,CW70:DJ70&lt;BU70))</f>
        <v>1.8394328415405257E-2</v>
      </c>
      <c r="DM70" s="23" cm="1">
        <f t="array" aca="1" ref="DM70" ca="1">MIN(_xlfn._xlws.FILTER(CW70:DJ70,CW70:DJ70&gt;BU70))</f>
        <v>3.4744842562432154E-2</v>
      </c>
      <c r="DN70" s="2" cm="1">
        <f t="array" aca="1" ref="DN70" ca="1">_FV(EC70,"Fechamento anterior",TRUE)</f>
        <v>6.21</v>
      </c>
      <c r="DO70" s="28">
        <f t="shared" ref="DO70:DO133" ca="1" si="106">(BO70-DP70)/(DQ70-DP70)</f>
        <v>0.74624471618357757</v>
      </c>
      <c r="DP70" s="15">
        <f t="shared" ca="1" si="95"/>
        <v>6.3242287794596663</v>
      </c>
      <c r="DQ70" s="15">
        <f t="shared" ca="1" si="96"/>
        <v>6.4257654723127038</v>
      </c>
      <c r="DR70" s="9"/>
      <c r="DS70" s="9"/>
      <c r="DT70" s="9"/>
      <c r="DU70" s="89">
        <v>9.5062143097077584E-3</v>
      </c>
      <c r="DV70" s="89">
        <f t="shared" ref="DV70:DV133" ca="1" si="107">DM70-DL70</f>
        <v>1.6350514147026898E-2</v>
      </c>
      <c r="DW70" s="72">
        <f t="shared" ref="DW70:DW133" ca="1" si="108">(BO70-CI70)/(CI70-CH70)</f>
        <v>0.44706769641073785</v>
      </c>
      <c r="DX70" s="37"/>
      <c r="DY70" s="35">
        <f t="shared" si="39"/>
        <v>0.27959971387682064</v>
      </c>
      <c r="DZ70" s="56"/>
      <c r="EA70" s="56"/>
      <c r="EC70" s="2" t="e" vm="70">
        <v>#VALUE!</v>
      </c>
      <c r="EE70" s="10" cm="1">
        <f t="array" aca="1" ref="EE70" ca="1">_FV(EC70,"Ações em circulação",TRUE)</f>
        <v>186617500</v>
      </c>
      <c r="EF70" s="18">
        <f>VLOOKUP(BP70,Fundamentus!A:U,5,FALSE)</f>
        <v>0.89200000000000002</v>
      </c>
      <c r="EG70" s="2">
        <f t="shared" ref="EG70:EG133" ca="1" si="109">(BO70*EE70)/EF70</f>
        <v>1338959641.2556055</v>
      </c>
      <c r="EH70" s="17">
        <v>189998373.09417042</v>
      </c>
      <c r="EI70" s="17">
        <f t="shared" ref="EI70:EI133" ca="1" si="110">EG70*EU70</f>
        <v>189998373.09417042</v>
      </c>
      <c r="EK70" s="16">
        <f t="shared" ca="1" si="97"/>
        <v>0</v>
      </c>
      <c r="EL70" s="32" t="str">
        <f>IF(VLOOKUP(BP70,Fundamentus!A:U,3,FALSE)&lt;15,"Bom",IF(VLOOKUP(BP70,Fundamentus!A:U,3,FALSE)&gt;15,"Ruim","n/a"))</f>
        <v>Bom</v>
      </c>
      <c r="EM70" s="55" t="str">
        <f>IF(VLOOKUP(BP70,Fundamentus!A:U,4,FALSE)&lt;1,"Baixo",IF(VLOOKUP(BP70,Fundamentus!A:U,4,FALSE)&lt;1.5,"Moderado",IF(VLOOKUP(BP70,Fundamentus!A:U,4,FALSE)&gt;1.5,"Alto","n/a")))</f>
        <v>Baixo</v>
      </c>
      <c r="EN70" s="17" t="str">
        <f>IF(VLOOKUP(BP70,Fundamentus!A:U,8,FALSE)&lt;0,"Risco elevado",IF(VLOOKUP(BP70,Fundamentus!A:U,8,FALSE)&lt;1,"Saudável",IF(VLOOKUP(BP70,Fundamentus!A:U,8,FALSE)&lt;3,"Estável",IF(VLOOKUP(BP70,Fundamentus!A:U,8,FALSE)&gt;3,"Alerta","n/a"))))</f>
        <v>Saudável</v>
      </c>
      <c r="EO70" s="28" t="str">
        <f t="shared" ref="EO70:EO133" si="111">IF(EF70&gt;1,"Bom","Ruim")</f>
        <v>Ruim</v>
      </c>
      <c r="EP70" s="17" t="str">
        <f>IF(VLOOKUP(BP70,Fundamentus!A:U,12,FALSE)&lt;2,"Subvalorizada",IF(VLOOKUP(BP70,Fundamentus!A:U,12,FALSE)&lt;6,"Muita barata",IF(VLOOKUP(BP70,Fundamentus!A:U,12,FALSE)&lt;6,"Barata",IF(VLOOKUP(BP70,Fundamentus!A:U,12,FALSE)&lt;8,"Atrativa",IF(VLOOKUP(BP70,Fundamentus!A:U,12,FALSE)&gt;8,"Supervalorizada","n/a")))))</f>
        <v>Atrativa</v>
      </c>
      <c r="ER70" s="17" t="str">
        <f>IF(VLOOKUP(BP70,Fundamentus!A:U,17,FALSE)&lt;0.1,"Fraco retorno",IF(VLOOKUP(BP70,Fundamentus!A:U,17,FALSE)&gt;0.1,"Bom retorno","n/a"))</f>
        <v>Bom retorno</v>
      </c>
      <c r="ES70" s="53" t="str">
        <f>IF(VLOOKUP(BP70,Fundamentus!A:U,16,FALSE)&lt;0.1,"Ineficiente",IF(VLOOKUP(BP70,Fundamentus!A:U,16,FALSE)&gt;0.1,"Eficiente","n/a"))</f>
        <v>Ineficiente</v>
      </c>
      <c r="ET70" s="54" t="str">
        <f>IF(VLOOKUP(BP70,Fundamentus!A:U,16,FALSE)&lt;0.1,"Oper. Ineficiente",IF(VLOOKUP(BP70,Fundamentus!A:U,16,FALSE)&gt;0.1,"Oper.Eficiente","n/a"))</f>
        <v>Oper. Ineficiente</v>
      </c>
      <c r="EU70" s="34">
        <f>VLOOKUP(BP70,Fundamentus!A:U,14,FALSE)</f>
        <v>0.1419</v>
      </c>
      <c r="EV70" s="17" t="str">
        <f>IF(VLOOKUP(BP70,Fundamentus!A:U,21,FALSE)&lt;0,"Negativo",IF(VLOOKUP(BP70,Fundamentus!A:U,21,FALSE)&lt;0.05,"Fraco",IF(VLOOKUP(BP70,Fundamentus!A:U,21,FALSE)&lt;0.1,"Bom",IF(VLOOKUP(BP70,Fundamentus!A:U,21,FALSE)&gt;0.1,"Muito bom","n/a"))))</f>
        <v>Muito bom</v>
      </c>
      <c r="EX70" s="29" t="str">
        <f>IF(VLOOKUP(BP70,Fundamentus!A:U,15,FALSE)&gt;1,"Bom",IF(VLOOKUP(BP70,Fundamentus!A:U,15,FALSE)&lt;1,"Ruim","n/a"))</f>
        <v>Bom</v>
      </c>
      <c r="EY70" s="17" t="str">
        <f>IF(VLOOKUP(BP70,Fundamentus!A:U,20,FALSE)&lt;0.5,"Baixa",IF(VLOOKUP(BP70,Fundamentus!A:U,20,FALSE)&lt;1,"Moderada",IF(VLOOKUP(BP70,Fundamentus!A:U,20,FALSE)&lt;2,"Alerta",IF(VLOOKUP(BP70,Fundamentus!A:U,20,FALSE)&gt;2,"Alta","n/a"))))</f>
        <v>Moderada</v>
      </c>
      <c r="EZ70" s="10"/>
    </row>
    <row r="71" spans="1:156" s="2" customFormat="1" ht="11.25" x14ac:dyDescent="0.2">
      <c r="A71" s="4">
        <v>26.12</v>
      </c>
      <c r="B71" s="4">
        <v>25.86</v>
      </c>
      <c r="C71" s="4">
        <v>25.74</v>
      </c>
      <c r="D71" s="4">
        <v>24.47</v>
      </c>
      <c r="E71" s="4">
        <v>24.16</v>
      </c>
      <c r="F71" s="4">
        <v>23.41</v>
      </c>
      <c r="G71" s="4">
        <v>23.29</v>
      </c>
      <c r="H71" s="4">
        <v>23.88</v>
      </c>
      <c r="I71" s="4">
        <v>24.44</v>
      </c>
      <c r="J71" s="4">
        <v>25.64</v>
      </c>
      <c r="K71" s="4">
        <v>25.99</v>
      </c>
      <c r="L71" s="4">
        <v>24.18</v>
      </c>
      <c r="M71" s="4">
        <v>24.82</v>
      </c>
      <c r="N71" s="4">
        <v>24.3</v>
      </c>
      <c r="O71" s="4">
        <v>24.98</v>
      </c>
      <c r="P71" s="4">
        <v>25</v>
      </c>
      <c r="Q71" s="4">
        <v>26.19</v>
      </c>
      <c r="R71" s="4">
        <v>26.25</v>
      </c>
      <c r="S71" s="4">
        <v>27.5</v>
      </c>
      <c r="T71" s="4">
        <v>28.25</v>
      </c>
      <c r="U71" s="4">
        <v>26.75</v>
      </c>
      <c r="V71" s="4">
        <v>26.85</v>
      </c>
      <c r="W71" s="4">
        <v>25.76</v>
      </c>
      <c r="X71" s="4">
        <v>26</v>
      </c>
      <c r="Y71" s="4">
        <v>27.76</v>
      </c>
      <c r="Z71" s="4">
        <v>29.05</v>
      </c>
      <c r="AA71" s="4">
        <v>29.36</v>
      </c>
      <c r="AB71" s="4">
        <v>31.09</v>
      </c>
      <c r="AC71" s="4">
        <v>31.32</v>
      </c>
      <c r="AD71" s="4">
        <v>31.35</v>
      </c>
      <c r="AE71" s="4">
        <v>30.6</v>
      </c>
      <c r="AF71" s="4">
        <v>31.71</v>
      </c>
      <c r="AG71" s="4">
        <v>31.11</v>
      </c>
      <c r="AH71" s="4">
        <v>29.45</v>
      </c>
      <c r="AI71" s="4">
        <v>29.4</v>
      </c>
      <c r="AJ71" s="4">
        <v>27.71</v>
      </c>
      <c r="AK71" s="4">
        <v>28.04</v>
      </c>
      <c r="AL71" s="4">
        <v>28.7</v>
      </c>
      <c r="AM71" s="4">
        <v>29.15</v>
      </c>
      <c r="AN71" s="4">
        <v>30.18</v>
      </c>
      <c r="AO71" s="4">
        <v>29.94</v>
      </c>
      <c r="AP71" s="4">
        <v>32.33</v>
      </c>
      <c r="AQ71" s="4">
        <v>33.01</v>
      </c>
      <c r="AR71" s="4">
        <v>32.299999999999997</v>
      </c>
      <c r="AS71" s="4">
        <v>33.729999999999997</v>
      </c>
      <c r="AT71" s="4">
        <v>34.49</v>
      </c>
      <c r="AU71" s="4">
        <v>35.049999999999997</v>
      </c>
      <c r="AV71" s="4">
        <v>33.39</v>
      </c>
      <c r="AW71" s="4">
        <v>33.89</v>
      </c>
      <c r="AX71" s="4">
        <v>34.14</v>
      </c>
      <c r="AY71" s="12">
        <v>34.909999999999997</v>
      </c>
      <c r="AZ71" s="12">
        <v>36.31</v>
      </c>
      <c r="BA71" s="12">
        <v>35.659999999999997</v>
      </c>
      <c r="BB71" s="15">
        <v>34.33</v>
      </c>
      <c r="BC71" s="52">
        <v>34.22</v>
      </c>
      <c r="BD71" s="52">
        <v>35.4</v>
      </c>
      <c r="BE71" s="52">
        <v>36.729999999999997</v>
      </c>
      <c r="BF71" s="52">
        <v>35.85</v>
      </c>
      <c r="BG71" s="67">
        <v>36.4</v>
      </c>
      <c r="BH71" s="52">
        <v>34.630000000000003</v>
      </c>
      <c r="BI71" s="52">
        <v>34.630000000000003</v>
      </c>
      <c r="BJ71" s="52">
        <v>36.72</v>
      </c>
      <c r="BK71" s="52">
        <v>35.340000000000003</v>
      </c>
      <c r="BL71" s="52">
        <v>33.82</v>
      </c>
      <c r="BM71" s="52">
        <v>34.450000000000003</v>
      </c>
      <c r="BN71" s="52">
        <v>37.229999999999997</v>
      </c>
      <c r="BO71" s="52" cm="1">
        <f t="array" aca="1" ref="BO71" ca="1">_FV(EC71,"Preço")</f>
        <v>37.229999999999997</v>
      </c>
      <c r="BP71" s="69" t="s">
        <v>68</v>
      </c>
      <c r="BQ71" s="36" cm="1">
        <f t="array" aca="1" ref="BQ71" ca="1">_FV(EC71,"Média de volume",TRUE)</f>
        <v>285320</v>
      </c>
      <c r="BR71" s="36">
        <v>220700</v>
      </c>
      <c r="BS71" s="36" cm="1">
        <f t="array" aca="1" ref="BS71" ca="1">_FV(EC71,"Volume")</f>
        <v>220700</v>
      </c>
      <c r="BT71" s="24" cm="1">
        <f t="array" aca="1" ref="BT71" ca="1">_FV(EC71,"Beta")</f>
        <v>1.1433</v>
      </c>
      <c r="BU71" s="71" cm="1">
        <f t="array" aca="1" ref="BU71" ca="1">_FV(EC71,"Variação (%)",TRUE)</f>
        <v>2.1679E-2</v>
      </c>
      <c r="BW71" s="17" cm="1">
        <f t="array" aca="1" ref="BW71" ca="1">_FV(EC71,"Baixo")</f>
        <v>36.49</v>
      </c>
      <c r="BX71" s="17" cm="1">
        <f t="array" aca="1" ref="BX71" ca="1">_FV(EC71,"Alto")</f>
        <v>37.479999999999997</v>
      </c>
      <c r="BY71" s="24"/>
      <c r="BZ71" s="63">
        <f ca="1">SQRT(22.5*(BO71/VLOOKUP(BP71,Fundamentus!A:U,3,FALSE))*(BO71/VLOOKUP(BP71,Fundamentus!A:U,4,FALSE)))</f>
        <v>39.709581024830918</v>
      </c>
      <c r="CB71" s="62">
        <f t="shared" ref="CB71:CB134" ca="1" si="112">(BO71 - BN71) / BN71</f>
        <v>0</v>
      </c>
      <c r="CC71" s="8"/>
      <c r="CD71" s="61">
        <f t="shared" ref="CD71:CD134" si="113">MIN(A71:BN71)</f>
        <v>23.29</v>
      </c>
      <c r="CE71" s="61">
        <f t="shared" ref="CE71:CE134" si="114">MAX(A71:BN71)</f>
        <v>37.229999999999997</v>
      </c>
      <c r="CF71" s="61">
        <f t="shared" ref="CF71:CF134" si="115">AVERAGE(A71:BN71)</f>
        <v>30.07136363636365</v>
      </c>
      <c r="CG71" s="14"/>
      <c r="CH71" s="35">
        <f t="shared" si="98"/>
        <v>34.187912400400016</v>
      </c>
      <c r="CI71" s="15">
        <f t="shared" ref="CI71:CI134" si="116">FORECAST("08/08/2025", BK71:BN71, $BK$5:$BN$5)</f>
        <v>36.785000000000764</v>
      </c>
      <c r="CJ71" s="35">
        <f t="shared" si="99"/>
        <v>39.382087599601512</v>
      </c>
      <c r="CL71" s="14"/>
      <c r="CM71" s="17">
        <f t="shared" si="100"/>
        <v>13.996666666666677</v>
      </c>
      <c r="CN71" s="17">
        <f t="shared" si="101"/>
        <v>18.643333333333338</v>
      </c>
      <c r="CO71" s="17">
        <f t="shared" si="102"/>
        <v>27.936666666666675</v>
      </c>
      <c r="CP71" s="38">
        <f t="shared" ref="CP71:CP134" si="117">(CE71+CD71+BN71)/3</f>
        <v>32.583333333333336</v>
      </c>
      <c r="CQ71" s="17">
        <f t="shared" si="103"/>
        <v>41.876666666666672</v>
      </c>
      <c r="CR71" s="17">
        <f t="shared" si="104"/>
        <v>46.523333333333333</v>
      </c>
      <c r="CS71" s="17">
        <f t="shared" si="105"/>
        <v>55.81666666666667</v>
      </c>
      <c r="CT71" s="2" cm="1">
        <f t="array" aca="1" ref="CT71" ca="1">MAX(_xlfn._xlws.FILTER(CM71:CS71,CM71:CS71&lt;BO71))</f>
        <v>32.583333333333336</v>
      </c>
      <c r="CU71" s="2" cm="1">
        <f t="array" aca="1" ref="CU71" ca="1">MIN(_xlfn._xlws.FILTER($CM71:$CS71,$CM71:$CS71&gt;BO71))</f>
        <v>41.876666666666672</v>
      </c>
      <c r="CV71" s="16">
        <f t="shared" ca="1" si="80"/>
        <v>0.28521739130434787</v>
      </c>
      <c r="CW71" s="20">
        <f t="shared" ca="1" si="81"/>
        <v>-0.14260869565217393</v>
      </c>
      <c r="CX71" s="20">
        <f t="shared" ca="1" si="82"/>
        <v>-9.5072463768115956E-2</v>
      </c>
      <c r="CY71" s="20">
        <f t="shared" ca="1" si="83"/>
        <v>-5.7043478260869571E-2</v>
      </c>
      <c r="CZ71" s="20">
        <f t="shared" ca="1" si="84"/>
        <v>-3.169082125603865E-2</v>
      </c>
      <c r="DA71" s="20">
        <f t="shared" ca="1" si="85"/>
        <v>-1.6777493606138109E-2</v>
      </c>
      <c r="DB71" s="20">
        <f t="shared" ca="1" si="86"/>
        <v>-8.6429512516469058E-3</v>
      </c>
      <c r="DC71" s="20">
        <f t="shared" ca="1" si="87"/>
        <v>-4.3879598662207361E-3</v>
      </c>
      <c r="DD71" s="21">
        <f t="shared" ca="1" si="88"/>
        <v>4.3879598662207361E-3</v>
      </c>
      <c r="DE71" s="21">
        <f t="shared" ca="1" si="89"/>
        <v>8.6429512516469058E-3</v>
      </c>
      <c r="DF71" s="21">
        <f t="shared" ca="1" si="90"/>
        <v>1.6777493606138109E-2</v>
      </c>
      <c r="DG71" s="21">
        <f t="shared" ca="1" si="91"/>
        <v>3.169082125603865E-2</v>
      </c>
      <c r="DH71" s="21">
        <f t="shared" ca="1" si="92"/>
        <v>5.7043478260869571E-2</v>
      </c>
      <c r="DI71" s="21">
        <f t="shared" ca="1" si="93"/>
        <v>9.5072463768115956E-2</v>
      </c>
      <c r="DJ71" s="21">
        <f t="shared" ca="1" si="94"/>
        <v>0.14260869565217393</v>
      </c>
      <c r="DL71" s="16" cm="1">
        <f t="array" aca="1" ref="DL71" ca="1">MAX(_xlfn._xlws.FILTER(CW71:DJ71,CW71:DJ71&lt;BU71))</f>
        <v>1.6777493606138109E-2</v>
      </c>
      <c r="DM71" s="16" cm="1">
        <f t="array" aca="1" ref="DM71" ca="1">MIN(_xlfn._xlws.FILTER(CW71:DJ71,CW71:DJ71&gt;BU71))</f>
        <v>3.169082125603865E-2</v>
      </c>
      <c r="DN71" s="2" cm="1">
        <f t="array" aca="1" ref="DN71" ca="1">_FV(EC71,"Fechamento anterior",TRUE)</f>
        <v>36.44</v>
      </c>
      <c r="DO71" s="28">
        <f t="shared" ca="1" si="106"/>
        <v>0.32869790132794741</v>
      </c>
      <c r="DP71" s="15">
        <f t="shared" ca="1" si="95"/>
        <v>37.051371867007667</v>
      </c>
      <c r="DQ71" s="15">
        <f t="shared" ca="1" si="96"/>
        <v>37.594813526570043</v>
      </c>
      <c r="DR71" s="9"/>
      <c r="DS71" s="9"/>
      <c r="DT71" s="9"/>
      <c r="DU71" s="89">
        <v>7.2851274897310749E-3</v>
      </c>
      <c r="DV71" s="89">
        <f t="shared" ca="1" si="107"/>
        <v>1.491332764990054E-2</v>
      </c>
      <c r="DW71" s="72">
        <f t="shared" ca="1" si="108"/>
        <v>0.17134577981414376</v>
      </c>
      <c r="DX71" s="37"/>
      <c r="DY71" s="35">
        <f t="shared" ref="DY71:DY134" si="118">_xlfn.STDEV.P(BJ71:BN71)</f>
        <v>1.2985437998003748</v>
      </c>
      <c r="DZ71" s="56"/>
      <c r="EA71" s="56"/>
      <c r="EC71" s="2" t="e" vm="71">
        <v>#VALUE!</v>
      </c>
      <c r="EE71" s="10" cm="1">
        <f t="array" aca="1" ref="EE71" ca="1">_FV(EC71,"Ações em circulação",TRUE)</f>
        <v>66002920</v>
      </c>
      <c r="EF71" s="18">
        <f>VLOOKUP(BP71,Fundamentus!A:U,5,FALSE)</f>
        <v>1.0720000000000001</v>
      </c>
      <c r="EG71" s="2">
        <f t="shared" ca="1" si="109"/>
        <v>2292246932.4626865</v>
      </c>
      <c r="EH71" s="17">
        <v>296387528.36742538</v>
      </c>
      <c r="EI71" s="17">
        <f t="shared" ca="1" si="110"/>
        <v>296387528.36742538</v>
      </c>
      <c r="EK71" s="16">
        <f t="shared" ca="1" si="97"/>
        <v>0</v>
      </c>
      <c r="EL71" s="45" t="str">
        <f>IF(VLOOKUP(BP71,Fundamentus!A:U,3,FALSE)&lt;15,"Bom",IF(VLOOKUP(BP71,Fundamentus!A:U,3,FALSE)&gt;15,"Ruim","n/a"))</f>
        <v>Bom</v>
      </c>
      <c r="EM71" s="46" t="str">
        <f>IF(VLOOKUP(BP71,Fundamentus!A:U,4,FALSE)&lt;1,"Baixo",IF(VLOOKUP(BP71,Fundamentus!A:U,4,FALSE)&lt;1.5,"Moderado",IF(VLOOKUP(BP71,Fundamentus!A:U,4,FALSE)&gt;1.5,"Alto","n/a")))</f>
        <v>Alto</v>
      </c>
      <c r="EN71" s="30" t="str">
        <f>IF(VLOOKUP(BP71,Fundamentus!A:U,8,FALSE)&lt;0,"Risco elevado",IF(VLOOKUP(BP71,Fundamentus!A:U,8,FALSE)&lt;1,"Saudável",IF(VLOOKUP(BP71,Fundamentus!A:U,8,FALSE)&lt;3,"Estável",IF(VLOOKUP(BP71,Fundamentus!A:U,8,FALSE)&gt;3,"Alerta","n/a"))))</f>
        <v>Alerta</v>
      </c>
      <c r="EO71" s="46" t="str">
        <f t="shared" si="111"/>
        <v>Bom</v>
      </c>
      <c r="EP71" s="30" t="str">
        <f>IF(VLOOKUP(BP71,Fundamentus!A:U,12,FALSE)&lt;2,"Subvalorizada",IF(VLOOKUP(BP71,Fundamentus!A:U,12,FALSE)&lt;6,"Muita barata",IF(VLOOKUP(BP71,Fundamentus!A:U,12,FALSE)&lt;6,"Barata",IF(VLOOKUP(BP71,Fundamentus!A:U,12,FALSE)&lt;8,"Atrativa",IF(VLOOKUP(BP71,Fundamentus!A:U,12,FALSE)&gt;8,"Supervalorizada","n/a")))))</f>
        <v>Muita barata</v>
      </c>
      <c r="ER71" s="30" t="str">
        <f>IF(VLOOKUP(BP71,Fundamentus!A:U,17,FALSE)&lt;0.1,"Fraco retorno",IF(VLOOKUP(BP71,Fundamentus!A:U,17,FALSE)&gt;0.1,"Bom retorno","n/a"))</f>
        <v>Bom retorno</v>
      </c>
      <c r="ES71" s="30" t="str">
        <f>IF(VLOOKUP(BP71,Fundamentus!A:U,16,FALSE)&lt;0.1,"Ineficiente",IF(VLOOKUP(BP71,Fundamentus!A:U,16,FALSE)&gt;0.1,"Eficiente","n/a"))</f>
        <v>Eficiente</v>
      </c>
      <c r="ET71" s="49" t="str">
        <f>IF(VLOOKUP(BP71,Fundamentus!A:U,16,FALSE)&lt;0.1,"Oper. Ineficiente",IF(VLOOKUP(BP71,Fundamentus!A:U,16,FALSE)&gt;0.1,"Oper.Eficiente","n/a"))</f>
        <v>Oper.Eficiente</v>
      </c>
      <c r="EU71" s="48">
        <f>VLOOKUP(BP71,Fundamentus!A:U,14,FALSE)</f>
        <v>0.1293</v>
      </c>
      <c r="EV71" s="30" t="str">
        <f>IF(VLOOKUP(BP71,Fundamentus!A:U,21,FALSE)&lt;0,"Negativo",IF(VLOOKUP(BP71,Fundamentus!A:U,21,FALSE)&lt;0.05,"Fraco",IF(VLOOKUP(BP71,Fundamentus!A:U,21,FALSE)&lt;0.1,"Bom",IF(VLOOKUP(BP71,Fundamentus!A:U,21,FALSE)&gt;0.1,"Muito bom","n/a"))))</f>
        <v>Muito bom</v>
      </c>
      <c r="EX71" s="31" t="str">
        <f>IF(VLOOKUP(BP71,Fundamentus!A:U,15,FALSE)&gt;1,"Bom",IF(VLOOKUP(BP71,Fundamentus!A:U,15,FALSE)&lt;1,"Ruim","n/a"))</f>
        <v>Bom</v>
      </c>
      <c r="EY71" s="30" t="str">
        <f>IF(VLOOKUP(BP71,Fundamentus!A:U,20,FALSE)&lt;0.5,"Baixa",IF(VLOOKUP(BP71,Fundamentus!A:U,20,FALSE)&lt;1,"Moderada",IF(VLOOKUP(BP71,Fundamentus!A:U,20,FALSE)&lt;2,"Alerta",IF(VLOOKUP(BP71,Fundamentus!A:U,20,FALSE)&gt;2,"Alta","n/a"))))</f>
        <v>Baixa</v>
      </c>
      <c r="EZ71" s="10"/>
    </row>
    <row r="72" spans="1:156" s="2" customFormat="1" ht="11.25" x14ac:dyDescent="0.2">
      <c r="A72" s="4">
        <v>6.85</v>
      </c>
      <c r="B72" s="4">
        <v>6.92</v>
      </c>
      <c r="C72" s="4">
        <v>6.85</v>
      </c>
      <c r="D72" s="4">
        <v>6.86</v>
      </c>
      <c r="E72" s="4">
        <v>6.82</v>
      </c>
      <c r="F72" s="4">
        <v>6.7</v>
      </c>
      <c r="G72" s="4">
        <v>6.71</v>
      </c>
      <c r="H72" s="4">
        <v>6.67</v>
      </c>
      <c r="I72" s="4">
        <v>6.64</v>
      </c>
      <c r="J72" s="4">
        <v>6.98</v>
      </c>
      <c r="K72" s="4">
        <v>6.99</v>
      </c>
      <c r="L72" s="4">
        <v>6.91</v>
      </c>
      <c r="M72" s="4">
        <v>6.95</v>
      </c>
      <c r="N72" s="4">
        <v>6.97</v>
      </c>
      <c r="O72" s="4">
        <v>6.85</v>
      </c>
      <c r="P72" s="4">
        <v>6.82</v>
      </c>
      <c r="Q72" s="4">
        <v>6.95</v>
      </c>
      <c r="R72" s="4">
        <v>7</v>
      </c>
      <c r="S72" s="4">
        <v>6.97</v>
      </c>
      <c r="T72" s="4">
        <v>6.92</v>
      </c>
      <c r="U72" s="4">
        <v>6.97</v>
      </c>
      <c r="V72" s="4">
        <v>6.87</v>
      </c>
      <c r="W72" s="4">
        <v>6.93</v>
      </c>
      <c r="X72" s="4">
        <v>6.87</v>
      </c>
      <c r="Y72" s="4">
        <v>6.91</v>
      </c>
      <c r="Z72" s="4">
        <v>6.74</v>
      </c>
      <c r="AA72" s="4">
        <v>6.83</v>
      </c>
      <c r="AB72" s="4">
        <v>6.79</v>
      </c>
      <c r="AC72" s="4">
        <v>6.71</v>
      </c>
      <c r="AD72" s="4">
        <v>6.56</v>
      </c>
      <c r="AE72" s="4">
        <v>6.57</v>
      </c>
      <c r="AF72" s="4">
        <v>6.46</v>
      </c>
      <c r="AG72" s="4">
        <v>6.39</v>
      </c>
      <c r="AH72" s="4">
        <v>6.24</v>
      </c>
      <c r="AI72" s="4">
        <v>6.27</v>
      </c>
      <c r="AJ72" s="4">
        <v>6.28</v>
      </c>
      <c r="AK72" s="4">
        <v>6.27</v>
      </c>
      <c r="AL72" s="4">
        <v>6.33</v>
      </c>
      <c r="AM72" s="4">
        <v>6.32</v>
      </c>
      <c r="AN72" s="4">
        <v>6.57</v>
      </c>
      <c r="AO72" s="4">
        <v>6.38</v>
      </c>
      <c r="AP72" s="4">
        <v>6.4</v>
      </c>
      <c r="AQ72" s="4">
        <v>6.65</v>
      </c>
      <c r="AR72" s="4">
        <v>6.51</v>
      </c>
      <c r="AS72" s="4">
        <v>6.53</v>
      </c>
      <c r="AT72" s="4">
        <v>6.59</v>
      </c>
      <c r="AU72" s="4">
        <v>6.67</v>
      </c>
      <c r="AV72" s="4">
        <v>6.7</v>
      </c>
      <c r="AW72" s="4">
        <v>6.66</v>
      </c>
      <c r="AX72" s="4">
        <v>6.46</v>
      </c>
      <c r="AY72" s="12">
        <v>6.5</v>
      </c>
      <c r="AZ72" s="12">
        <v>6.5</v>
      </c>
      <c r="BA72" s="12">
        <v>6.52</v>
      </c>
      <c r="BB72" s="15">
        <v>6.51</v>
      </c>
      <c r="BC72" s="52">
        <v>6.66</v>
      </c>
      <c r="BD72" s="52">
        <v>6.65</v>
      </c>
      <c r="BE72" s="52">
        <v>6.8</v>
      </c>
      <c r="BF72" s="52">
        <v>6.79</v>
      </c>
      <c r="BG72" s="67">
        <v>6.82</v>
      </c>
      <c r="BH72" s="52">
        <v>6.77</v>
      </c>
      <c r="BI72" s="52">
        <v>6.63</v>
      </c>
      <c r="BJ72" s="52">
        <v>6.7</v>
      </c>
      <c r="BK72" s="52">
        <v>6.61</v>
      </c>
      <c r="BL72" s="52">
        <v>6.55</v>
      </c>
      <c r="BM72" s="52">
        <v>6.54</v>
      </c>
      <c r="BN72" s="52">
        <v>6.28</v>
      </c>
      <c r="BO72" s="52" cm="1">
        <f t="array" aca="1" ref="BO72" ca="1">_FV(EC72,"Preço")</f>
        <v>6.28</v>
      </c>
      <c r="BP72" s="69" t="s">
        <v>69</v>
      </c>
      <c r="BQ72" s="36" cm="1">
        <f t="array" aca="1" ref="BQ72" ca="1">_FV(EC72,"Média de volume",TRUE)</f>
        <v>750</v>
      </c>
      <c r="BR72" s="36">
        <v>1100</v>
      </c>
      <c r="BS72" s="36" cm="1">
        <f t="array" aca="1" ref="BS72" ca="1">_FV(EC72,"Volume")</f>
        <v>1100</v>
      </c>
      <c r="BT72" s="24" cm="1">
        <f t="array" aca="1" ref="BT72" ca="1">_FV(EC72,"Beta")</f>
        <v>0.23169999999999999</v>
      </c>
      <c r="BU72" s="71" cm="1">
        <f t="array" aca="1" ref="BU72" ca="1">_FV(EC72,"Variação (%)",TRUE)</f>
        <v>-2.1807E-2</v>
      </c>
      <c r="BW72" s="17" cm="1">
        <f t="array" aca="1" ref="BW72" ca="1">_FV(EC72,"Baixo")</f>
        <v>6.28</v>
      </c>
      <c r="BX72" s="17" cm="1">
        <f t="array" aca="1" ref="BX72" ca="1">_FV(EC72,"Alto")</f>
        <v>6.42</v>
      </c>
      <c r="BY72" s="24"/>
      <c r="BZ72" s="63">
        <f ca="1">SQRT(22.5*(BO72/VLOOKUP(BP72,Fundamentus!A:U,3,FALSE))*(BO72/VLOOKUP(BP72,Fundamentus!A:U,4,FALSE)))</f>
        <v>5.1814193881045236</v>
      </c>
      <c r="CB72" s="62">
        <f t="shared" ca="1" si="112"/>
        <v>0</v>
      </c>
      <c r="CC72" s="8"/>
      <c r="CD72" s="61">
        <f t="shared" si="113"/>
        <v>6.24</v>
      </c>
      <c r="CE72" s="61">
        <f t="shared" si="114"/>
        <v>7</v>
      </c>
      <c r="CF72" s="61">
        <f t="shared" si="115"/>
        <v>6.675606060606059</v>
      </c>
      <c r="CG72" s="14"/>
      <c r="CH72" s="35">
        <f t="shared" si="98"/>
        <v>5.9648286238746051</v>
      </c>
      <c r="CI72" s="15">
        <f t="shared" si="116"/>
        <v>6.2450000000000045</v>
      </c>
      <c r="CJ72" s="35">
        <f t="shared" si="99"/>
        <v>6.525171376125404</v>
      </c>
      <c r="CL72" s="14"/>
      <c r="CM72" s="17">
        <f t="shared" si="100"/>
        <v>5.2533333333333339</v>
      </c>
      <c r="CN72" s="17">
        <f t="shared" si="101"/>
        <v>5.746666666666667</v>
      </c>
      <c r="CO72" s="17">
        <f t="shared" si="102"/>
        <v>6.0133333333333336</v>
      </c>
      <c r="CP72" s="38">
        <f t="shared" si="117"/>
        <v>6.5066666666666668</v>
      </c>
      <c r="CQ72" s="17">
        <f t="shared" si="103"/>
        <v>6.7733333333333334</v>
      </c>
      <c r="CR72" s="17">
        <f t="shared" si="104"/>
        <v>7.2666666666666666</v>
      </c>
      <c r="CS72" s="17">
        <f t="shared" si="105"/>
        <v>7.5333333333333332</v>
      </c>
      <c r="CT72" s="2" cm="1">
        <f t="array" aca="1" ref="CT72" ca="1">MAX(_xlfn._xlws.FILTER(CM72:CS72,CM72:CS72&lt;BO72))</f>
        <v>6.0133333333333336</v>
      </c>
      <c r="CU72" s="2" cm="1">
        <f t="array" aca="1" ref="CU72" ca="1">MIN(_xlfn._xlws.FILTER($CM72:$CS72,$CM72:$CS72&gt;BO72))</f>
        <v>6.5066666666666668</v>
      </c>
      <c r="CV72" s="16">
        <f t="shared" ca="1" si="80"/>
        <v>8.2039911308203983E-2</v>
      </c>
      <c r="CW72" s="20">
        <f t="shared" ca="1" si="81"/>
        <v>-4.1019955654101992E-2</v>
      </c>
      <c r="CX72" s="20">
        <f t="shared" ca="1" si="82"/>
        <v>-2.7346637102734661E-2</v>
      </c>
      <c r="CY72" s="20">
        <f t="shared" ca="1" si="83"/>
        <v>-1.6407982261640797E-2</v>
      </c>
      <c r="CZ72" s="20">
        <f t="shared" ca="1" si="84"/>
        <v>-9.1155457009115537E-3</v>
      </c>
      <c r="DA72" s="20">
        <f t="shared" ca="1" si="85"/>
        <v>-4.8258771357767051E-3</v>
      </c>
      <c r="DB72" s="20">
        <f t="shared" ca="1" si="86"/>
        <v>-2.4860579184304236E-3</v>
      </c>
      <c r="DC72" s="20">
        <f t="shared" ca="1" si="87"/>
        <v>-1.2621524816646766E-3</v>
      </c>
      <c r="DD72" s="21">
        <f t="shared" ca="1" si="88"/>
        <v>1.2621524816646766E-3</v>
      </c>
      <c r="DE72" s="21">
        <f t="shared" ca="1" si="89"/>
        <v>2.4860579184304236E-3</v>
      </c>
      <c r="DF72" s="21">
        <f t="shared" ca="1" si="90"/>
        <v>4.8258771357767051E-3</v>
      </c>
      <c r="DG72" s="21">
        <f t="shared" ca="1" si="91"/>
        <v>9.1155457009115537E-3</v>
      </c>
      <c r="DH72" s="21">
        <f t="shared" ca="1" si="92"/>
        <v>1.6407982261640797E-2</v>
      </c>
      <c r="DI72" s="21">
        <f t="shared" ca="1" si="93"/>
        <v>2.7346637102734661E-2</v>
      </c>
      <c r="DJ72" s="21">
        <f t="shared" ca="1" si="94"/>
        <v>4.1019955654101992E-2</v>
      </c>
      <c r="DL72" s="16" cm="1">
        <f t="array" aca="1" ref="DL72" ca="1">MAX(_xlfn._xlws.FILTER(CW72:DJ72,CW72:DJ72&lt;BU72))</f>
        <v>-2.7346637102734661E-2</v>
      </c>
      <c r="DM72" s="16" cm="1">
        <f t="array" aca="1" ref="DM72" ca="1">MIN(_xlfn._xlws.FILTER(CW72:DJ72,CW72:DJ72&gt;BU72))</f>
        <v>-1.6407982261640797E-2</v>
      </c>
      <c r="DN72" s="2" cm="1">
        <f t="array" aca="1" ref="DN72" ca="1">_FV(EC72,"Fechamento anterior",TRUE)</f>
        <v>6.42</v>
      </c>
      <c r="DO72" s="28">
        <f t="shared" ca="1" si="106"/>
        <v>0.50644102045972006</v>
      </c>
      <c r="DP72" s="15">
        <f t="shared" ca="1" si="95"/>
        <v>6.2444345898004432</v>
      </c>
      <c r="DQ72" s="15">
        <f t="shared" ca="1" si="96"/>
        <v>6.3146607538802657</v>
      </c>
      <c r="DR72" s="9"/>
      <c r="DS72" s="9"/>
      <c r="DT72" s="9"/>
      <c r="DU72" s="89">
        <v>1.8573629667152122E-3</v>
      </c>
      <c r="DV72" s="89">
        <f t="shared" ca="1" si="107"/>
        <v>1.0938654841093864E-2</v>
      </c>
      <c r="DW72" s="72">
        <f t="shared" ca="1" si="108"/>
        <v>0.12492353959931424</v>
      </c>
      <c r="DX72" s="37"/>
      <c r="DY72" s="35">
        <f t="shared" si="118"/>
        <v>0.14008568806269966</v>
      </c>
      <c r="DZ72" s="56"/>
      <c r="EA72" s="56"/>
      <c r="EC72" s="2" t="e" vm="72">
        <v>#VALUE!</v>
      </c>
      <c r="EE72" s="10" cm="1">
        <f t="array" aca="1" ref="EE72" ca="1">_FV(EC72,"Ações em circulação",TRUE)</f>
        <v>2110323000</v>
      </c>
      <c r="EF72" s="18">
        <f>VLOOKUP(BP72,Fundamentus!A:U,5,FALSE)</f>
        <v>0.747</v>
      </c>
      <c r="EG72" s="2">
        <f t="shared" ca="1" si="109"/>
        <v>17741403534.136547</v>
      </c>
      <c r="EH72" s="17">
        <v>1784785195.5341365</v>
      </c>
      <c r="EI72" s="17">
        <f t="shared" ca="1" si="110"/>
        <v>1784785195.5341365</v>
      </c>
      <c r="EK72" s="16">
        <f t="shared" ca="1" si="97"/>
        <v>0</v>
      </c>
      <c r="EL72" s="32" t="str">
        <f>IF(VLOOKUP(BP72,Fundamentus!A:U,3,FALSE)&lt;15,"Bom",IF(VLOOKUP(BP72,Fundamentus!A:U,3,FALSE)&gt;15,"Ruim","n/a"))</f>
        <v>Bom</v>
      </c>
      <c r="EM72" s="28" t="str">
        <f>IF(VLOOKUP(BP72,Fundamentus!A:U,4,FALSE)&lt;1,"Baixo",IF(VLOOKUP(BP72,Fundamentus!A:U,4,FALSE)&lt;1.5,"Moderado",IF(VLOOKUP(BP72,Fundamentus!A:U,4,FALSE)&gt;1.5,"Alto","n/a")))</f>
        <v>Alto</v>
      </c>
      <c r="EN72" s="17" t="str">
        <f>IF(VLOOKUP(BP72,Fundamentus!A:U,8,FALSE)&lt;0,"Risco elevado",IF(VLOOKUP(BP72,Fundamentus!A:U,8,FALSE)&lt;1,"Saudável",IF(VLOOKUP(BP72,Fundamentus!A:U,8,FALSE)&lt;3,"Estável",IF(VLOOKUP(BP72,Fundamentus!A:U,8,FALSE)&gt;3,"Alerta","n/a"))))</f>
        <v>Alerta</v>
      </c>
      <c r="EO72" s="28" t="str">
        <f t="shared" si="111"/>
        <v>Ruim</v>
      </c>
      <c r="EP72" s="17" t="str">
        <f>IF(VLOOKUP(BP72,Fundamentus!A:U,12,FALSE)&lt;2,"Subvalorizada",IF(VLOOKUP(BP72,Fundamentus!A:U,12,FALSE)&lt;6,"Muita barata",IF(VLOOKUP(BP72,Fundamentus!A:U,12,FALSE)&lt;6,"Barata",IF(VLOOKUP(BP72,Fundamentus!A:U,12,FALSE)&lt;8,"Atrativa",IF(VLOOKUP(BP72,Fundamentus!A:U,12,FALSE)&gt;8,"Supervalorizada","n/a")))))</f>
        <v>Atrativa</v>
      </c>
      <c r="ER72" s="17" t="str">
        <f>IF(VLOOKUP(BP72,Fundamentus!A:U,17,FALSE)&lt;0.1,"Fraco retorno",IF(VLOOKUP(BP72,Fundamentus!A:U,17,FALSE)&gt;0.1,"Bom retorno","n/a"))</f>
        <v>Bom retorno</v>
      </c>
      <c r="ES72" s="17" t="str">
        <f>IF(VLOOKUP(BP72,Fundamentus!A:U,16,FALSE)&lt;0.1,"Ineficiente",IF(VLOOKUP(BP72,Fundamentus!A:U,16,FALSE)&gt;0.1,"Eficiente","n/a"))</f>
        <v>Eficiente</v>
      </c>
      <c r="ET72" s="33" t="str">
        <f>IF(VLOOKUP(BP72,Fundamentus!A:U,16,FALSE)&lt;0.1,"Oper. Ineficiente",IF(VLOOKUP(BP72,Fundamentus!A:U,16,FALSE)&gt;0.1,"Oper.Eficiente","n/a"))</f>
        <v>Oper.Eficiente</v>
      </c>
      <c r="EU72" s="34">
        <f>VLOOKUP(BP72,Fundamentus!A:U,14,FALSE)</f>
        <v>0.10059999999999999</v>
      </c>
      <c r="EV72" s="17" t="str">
        <f>IF(VLOOKUP(BP72,Fundamentus!A:U,21,FALSE)&lt;0,"Negativo",IF(VLOOKUP(BP72,Fundamentus!A:U,21,FALSE)&lt;0.05,"Fraco",IF(VLOOKUP(BP72,Fundamentus!A:U,21,FALSE)&lt;0.1,"Bom",IF(VLOOKUP(BP72,Fundamentus!A:U,21,FALSE)&gt;0.1,"Muito bom","n/a"))))</f>
        <v>Bom</v>
      </c>
      <c r="EX72" s="29" t="str">
        <f>IF(VLOOKUP(BP72,Fundamentus!A:U,15,FALSE)&gt;1,"Bom",IF(VLOOKUP(BP72,Fundamentus!A:U,15,FALSE)&lt;1,"Ruim","n/a"))</f>
        <v>Bom</v>
      </c>
      <c r="EY72" s="17" t="str">
        <f>IF(VLOOKUP(BP72,Fundamentus!A:U,20,FALSE)&lt;0.5,"Baixa",IF(VLOOKUP(BP72,Fundamentus!A:U,20,FALSE)&lt;1,"Moderada",IF(VLOOKUP(BP72,Fundamentus!A:U,20,FALSE)&lt;2,"Alerta",IF(VLOOKUP(BP72,Fundamentus!A:U,20,FALSE)&gt;2,"Alta","n/a"))))</f>
        <v>Alta</v>
      </c>
      <c r="EZ72" s="10"/>
    </row>
    <row r="73" spans="1:156" s="2" customFormat="1" ht="11.25" x14ac:dyDescent="0.2">
      <c r="A73" s="4">
        <v>1.1399999999999999</v>
      </c>
      <c r="B73" s="4">
        <v>1.08</v>
      </c>
      <c r="C73" s="4">
        <v>1.03</v>
      </c>
      <c r="D73" s="4">
        <v>0.98</v>
      </c>
      <c r="E73" s="4">
        <v>0.99</v>
      </c>
      <c r="F73" s="4">
        <v>0.98</v>
      </c>
      <c r="G73" s="4">
        <v>0.95</v>
      </c>
      <c r="H73" s="4">
        <v>0.95</v>
      </c>
      <c r="I73" s="4">
        <v>0.91</v>
      </c>
      <c r="J73" s="4">
        <v>0.92</v>
      </c>
      <c r="K73" s="4">
        <v>0.9</v>
      </c>
      <c r="L73" s="4">
        <v>0.91</v>
      </c>
      <c r="M73" s="4">
        <v>0.89</v>
      </c>
      <c r="N73" s="4">
        <v>0.89</v>
      </c>
      <c r="O73" s="4">
        <v>0.84</v>
      </c>
      <c r="P73" s="4">
        <v>0.97</v>
      </c>
      <c r="Q73" s="4">
        <v>1.02</v>
      </c>
      <c r="R73" s="4">
        <v>1.02</v>
      </c>
      <c r="S73" s="4">
        <v>1.07</v>
      </c>
      <c r="T73" s="4">
        <v>1</v>
      </c>
      <c r="U73" s="4">
        <v>0.98</v>
      </c>
      <c r="V73" s="4">
        <v>1.1200000000000001</v>
      </c>
      <c r="W73" s="4">
        <v>1.04</v>
      </c>
      <c r="X73" s="4">
        <v>1.1000000000000001</v>
      </c>
      <c r="Y73" s="4">
        <v>1.17</v>
      </c>
      <c r="Z73" s="4">
        <v>1.17</v>
      </c>
      <c r="AA73" s="4">
        <v>1.04</v>
      </c>
      <c r="AB73" s="4">
        <v>1.08</v>
      </c>
      <c r="AC73" s="4">
        <v>0.99</v>
      </c>
      <c r="AD73" s="4">
        <v>0.99</v>
      </c>
      <c r="AE73" s="4">
        <v>0.99</v>
      </c>
      <c r="AF73" s="4">
        <v>0.98</v>
      </c>
      <c r="AG73" s="4">
        <v>0.94</v>
      </c>
      <c r="AH73" s="4">
        <v>0.98</v>
      </c>
      <c r="AI73" s="4">
        <v>0.96</v>
      </c>
      <c r="AJ73" s="4">
        <v>0.96</v>
      </c>
      <c r="AK73" s="4">
        <v>0.97</v>
      </c>
      <c r="AL73" s="4">
        <v>0.91</v>
      </c>
      <c r="AM73" s="4">
        <v>0.91</v>
      </c>
      <c r="AN73" s="4">
        <v>0.96</v>
      </c>
      <c r="AO73" s="4">
        <v>1.05</v>
      </c>
      <c r="AP73" s="4">
        <v>0.97</v>
      </c>
      <c r="AQ73" s="4">
        <v>0.89</v>
      </c>
      <c r="AR73" s="4">
        <v>0.84</v>
      </c>
      <c r="AS73" s="4">
        <v>0.89</v>
      </c>
      <c r="AT73" s="4">
        <v>0.86</v>
      </c>
      <c r="AU73" s="4">
        <v>0.94500000000000006</v>
      </c>
      <c r="AV73" s="4">
        <v>1.01</v>
      </c>
      <c r="AW73" s="4">
        <v>0.93</v>
      </c>
      <c r="AX73" s="4">
        <v>0.86</v>
      </c>
      <c r="AY73" s="12">
        <v>0.86</v>
      </c>
      <c r="AZ73" s="12">
        <v>0.86</v>
      </c>
      <c r="BA73" s="12">
        <v>0.84</v>
      </c>
      <c r="BB73" s="15">
        <v>0.89</v>
      </c>
      <c r="BC73" s="52">
        <v>0.94</v>
      </c>
      <c r="BD73" s="52">
        <v>0.85</v>
      </c>
      <c r="BE73" s="52">
        <v>0.85</v>
      </c>
      <c r="BF73" s="52">
        <v>1.3</v>
      </c>
      <c r="BG73" s="67">
        <v>1.1599999999999999</v>
      </c>
      <c r="BH73" s="52">
        <v>1.1200000000000001</v>
      </c>
      <c r="BI73" s="52">
        <v>0.91</v>
      </c>
      <c r="BJ73" s="52">
        <v>0.97</v>
      </c>
      <c r="BK73" s="52">
        <v>0.98</v>
      </c>
      <c r="BL73" s="52">
        <v>1.4</v>
      </c>
      <c r="BM73" s="52">
        <v>1.21</v>
      </c>
      <c r="BN73" s="52">
        <v>1.21</v>
      </c>
      <c r="BO73" s="52" cm="1">
        <f t="array" aca="1" ref="BO73" ca="1">_FV(EC73,"Preço")</f>
        <v>1.21</v>
      </c>
      <c r="BP73" s="69" t="s">
        <v>70</v>
      </c>
      <c r="BQ73" s="36" cm="1">
        <f t="array" aca="1" ref="BQ73" ca="1">_FV(EC73,"Média de volume",TRUE)</f>
        <v>63110</v>
      </c>
      <c r="BR73" s="36">
        <v>18100</v>
      </c>
      <c r="BS73" s="36" cm="1">
        <f t="array" aca="1" ref="BS73" ca="1">_FV(EC73,"Volume")</f>
        <v>18100</v>
      </c>
      <c r="BT73" s="24" cm="1">
        <f t="array" aca="1" ref="BT73" ca="1">_FV(EC73,"Beta")</f>
        <v>1.2271000000000001</v>
      </c>
      <c r="BU73" s="71" cm="1">
        <f t="array" aca="1" ref="BU73" ca="1">_FV(EC73,"Variação (%)",TRUE)</f>
        <v>1.6807000000000002E-2</v>
      </c>
      <c r="BW73" s="17" cm="1">
        <f t="array" aca="1" ref="BW73" ca="1">_FV(EC73,"Baixo")</f>
        <v>1.17</v>
      </c>
      <c r="BX73" s="17" cm="1">
        <f t="array" aca="1" ref="BX73" ca="1">_FV(EC73,"Alto")</f>
        <v>1.21</v>
      </c>
      <c r="BY73" s="24"/>
      <c r="BZ73" s="63" t="e">
        <f ca="1">SQRT(22.5*(BO73/VLOOKUP(BP73,Fundamentus!A:U,3,FALSE))*(BO73/VLOOKUP(BP73,Fundamentus!A:U,4,FALSE)))</f>
        <v>#NUM!</v>
      </c>
      <c r="CB73" s="62">
        <f t="shared" ca="1" si="112"/>
        <v>0</v>
      </c>
      <c r="CC73" s="8"/>
      <c r="CD73" s="61">
        <f t="shared" si="113"/>
        <v>0.84</v>
      </c>
      <c r="CE73" s="61">
        <f t="shared" si="114"/>
        <v>1.4</v>
      </c>
      <c r="CF73" s="61">
        <f t="shared" si="115"/>
        <v>0.98901515151515096</v>
      </c>
      <c r="CG73" s="14"/>
      <c r="CH73" s="35">
        <f t="shared" si="98"/>
        <v>1.0013705823012857</v>
      </c>
      <c r="CI73" s="15">
        <f t="shared" si="116"/>
        <v>1.3249999999999886</v>
      </c>
      <c r="CJ73" s="35">
        <f t="shared" si="99"/>
        <v>1.6486294176986915</v>
      </c>
      <c r="CL73" s="14"/>
      <c r="CM73" s="17">
        <f t="shared" si="100"/>
        <v>0.33999999999999997</v>
      </c>
      <c r="CN73" s="17">
        <f t="shared" si="101"/>
        <v>0.59</v>
      </c>
      <c r="CO73" s="17">
        <f t="shared" si="102"/>
        <v>0.89999999999999991</v>
      </c>
      <c r="CP73" s="38">
        <f t="shared" si="117"/>
        <v>1.1499999999999999</v>
      </c>
      <c r="CQ73" s="17">
        <f t="shared" si="103"/>
        <v>1.46</v>
      </c>
      <c r="CR73" s="17">
        <f t="shared" si="104"/>
        <v>1.71</v>
      </c>
      <c r="CS73" s="17">
        <f t="shared" si="105"/>
        <v>2.0199999999999996</v>
      </c>
      <c r="CT73" s="2" cm="1">
        <f t="array" aca="1" ref="CT73" ca="1">MAX(_xlfn._xlws.FILTER(CM73:CS73,CM73:CS73&lt;BO73))</f>
        <v>1.1499999999999999</v>
      </c>
      <c r="CU73" s="2" cm="1">
        <f t="array" aca="1" ref="CU73" ca="1">MIN(_xlfn._xlws.FILTER($CM73:$CS73,$CM73:$CS73&gt;BO73))</f>
        <v>1.46</v>
      </c>
      <c r="CV73" s="16">
        <f t="shared" ca="1" si="80"/>
        <v>0.26956521739130435</v>
      </c>
      <c r="CW73" s="20">
        <f t="shared" ca="1" si="81"/>
        <v>-0.13478260869565217</v>
      </c>
      <c r="CX73" s="20">
        <f t="shared" ca="1" si="82"/>
        <v>-8.9855072463768115E-2</v>
      </c>
      <c r="CY73" s="20">
        <f t="shared" ca="1" si="83"/>
        <v>-5.3913043478260869E-2</v>
      </c>
      <c r="CZ73" s="20">
        <f t="shared" ca="1" si="84"/>
        <v>-2.9951690821256038E-2</v>
      </c>
      <c r="DA73" s="20">
        <f t="shared" ca="1" si="85"/>
        <v>-1.5856777493606138E-2</v>
      </c>
      <c r="DB73" s="20">
        <f t="shared" ca="1" si="86"/>
        <v>-8.1686429512516472E-3</v>
      </c>
      <c r="DC73" s="20">
        <f t="shared" ca="1" si="87"/>
        <v>-4.1471571906354513E-3</v>
      </c>
      <c r="DD73" s="21">
        <f t="shared" ca="1" si="88"/>
        <v>4.1471571906354513E-3</v>
      </c>
      <c r="DE73" s="21">
        <f t="shared" ca="1" si="89"/>
        <v>8.1686429512516472E-3</v>
      </c>
      <c r="DF73" s="21">
        <f t="shared" ca="1" si="90"/>
        <v>1.5856777493606138E-2</v>
      </c>
      <c r="DG73" s="21">
        <f t="shared" ca="1" si="91"/>
        <v>2.9951690821256038E-2</v>
      </c>
      <c r="DH73" s="21">
        <f t="shared" ca="1" si="92"/>
        <v>5.3913043478260869E-2</v>
      </c>
      <c r="DI73" s="21">
        <f t="shared" ca="1" si="93"/>
        <v>8.9855072463768115E-2</v>
      </c>
      <c r="DJ73" s="21">
        <f t="shared" ca="1" si="94"/>
        <v>0.13478260869565217</v>
      </c>
      <c r="DL73" s="16" cm="1">
        <f t="array" aca="1" ref="DL73" ca="1">MAX(_xlfn._xlws.FILTER(CW73:DJ73,CW73:DJ73&lt;BU73))</f>
        <v>1.5856777493606138E-2</v>
      </c>
      <c r="DM73" s="16" cm="1">
        <f t="array" aca="1" ref="DM73" ca="1">MIN(_xlfn._xlws.FILTER(CW73:DJ73,CW73:DJ73&gt;BU73))</f>
        <v>2.9951690821256038E-2</v>
      </c>
      <c r="DN73" s="2" cm="1">
        <f t="array" aca="1" ref="DN73" ca="1">_FV(EC73,"Fechamento anterior",TRUE)</f>
        <v>1.19</v>
      </c>
      <c r="DO73" s="28">
        <f t="shared" ca="1" si="106"/>
        <v>6.7396313364053051E-2</v>
      </c>
      <c r="DP73" s="15">
        <f t="shared" ca="1" si="95"/>
        <v>1.2088695652173913</v>
      </c>
      <c r="DQ73" s="15">
        <f t="shared" ca="1" si="96"/>
        <v>1.2256425120772947</v>
      </c>
      <c r="DR73" s="9"/>
      <c r="DS73" s="9"/>
      <c r="DT73" s="9"/>
      <c r="DU73" s="89">
        <v>1.6161616161616169E-2</v>
      </c>
      <c r="DV73" s="89">
        <f t="shared" ca="1" si="107"/>
        <v>1.4094913327649901E-2</v>
      </c>
      <c r="DW73" s="72">
        <f t="shared" ca="1" si="108"/>
        <v>-0.35534470511902905</v>
      </c>
      <c r="DX73" s="37"/>
      <c r="DY73" s="35">
        <f t="shared" si="118"/>
        <v>0.16181470884935142</v>
      </c>
      <c r="DZ73" s="56"/>
      <c r="EA73" s="56"/>
      <c r="EC73" s="2" t="e" vm="73">
        <v>#VALUE!</v>
      </c>
      <c r="EE73" s="10" cm="1">
        <f t="array" aca="1" ref="EE73" ca="1">_FV(EC73,"Ações em circulação",TRUE)</f>
        <v>124061300</v>
      </c>
      <c r="EF73" s="18">
        <f>VLOOKUP(BP73,Fundamentus!A:U,5,FALSE)</f>
        <v>1.609</v>
      </c>
      <c r="EG73" s="2">
        <f t="shared" ca="1" si="109"/>
        <v>93296564.94717215</v>
      </c>
      <c r="EH73" s="17">
        <v>-34958222.885705404</v>
      </c>
      <c r="EI73" s="17">
        <f t="shared" ca="1" si="110"/>
        <v>-34958222.885705404</v>
      </c>
      <c r="EK73" s="16">
        <f t="shared" ca="1" si="97"/>
        <v>0</v>
      </c>
      <c r="EL73" s="32" t="str">
        <f>IF(VLOOKUP(BP73,Fundamentus!A:U,3,FALSE)&lt;15,"Bom",IF(VLOOKUP(BP73,Fundamentus!A:U,3,FALSE)&gt;15,"Ruim","n/a"))</f>
        <v>Bom</v>
      </c>
      <c r="EM73" s="28" t="str">
        <f>IF(VLOOKUP(BP73,Fundamentus!A:U,4,FALSE)&lt;1,"Baixo",IF(VLOOKUP(BP73,Fundamentus!A:U,4,FALSE)&lt;1.5,"Moderado",IF(VLOOKUP(BP73,Fundamentus!A:U,4,FALSE)&gt;1.5,"Alto","n/a")))</f>
        <v>Baixo</v>
      </c>
      <c r="EN73" s="17" t="str">
        <f>IF(VLOOKUP(BP73,Fundamentus!A:U,8,FALSE)&lt;0,"Risco elevado",IF(VLOOKUP(BP73,Fundamentus!A:U,8,FALSE)&lt;1,"Saudável",IF(VLOOKUP(BP73,Fundamentus!A:U,8,FALSE)&lt;3,"Estável",IF(VLOOKUP(BP73,Fundamentus!A:U,8,FALSE)&gt;3,"Alerta","n/a"))))</f>
        <v>Risco elevado</v>
      </c>
      <c r="EO73" s="28" t="str">
        <f t="shared" si="111"/>
        <v>Bom</v>
      </c>
      <c r="EP73" s="17" t="str">
        <f>IF(VLOOKUP(BP73,Fundamentus!A:U,12,FALSE)&lt;2,"Subvalorizada",IF(VLOOKUP(BP73,Fundamentus!A:U,12,FALSE)&lt;6,"Muita barata",IF(VLOOKUP(BP73,Fundamentus!A:U,12,FALSE)&lt;6,"Barata",IF(VLOOKUP(BP73,Fundamentus!A:U,12,FALSE)&lt;8,"Atrativa",IF(VLOOKUP(BP73,Fundamentus!A:U,12,FALSE)&gt;8,"Supervalorizada","n/a")))))</f>
        <v>Supervalorizada</v>
      </c>
      <c r="ER73" s="17" t="str">
        <f>IF(VLOOKUP(BP73,Fundamentus!A:U,17,FALSE)&lt;0.1,"Fraco retorno",IF(VLOOKUP(BP73,Fundamentus!A:U,17,FALSE)&gt;0.1,"Bom retorno","n/a"))</f>
        <v>Fraco retorno</v>
      </c>
      <c r="ES73" s="17" t="str">
        <f>IF(VLOOKUP(BP73,Fundamentus!A:U,16,FALSE)&lt;0.1,"Ineficiente",IF(VLOOKUP(BP73,Fundamentus!A:U,16,FALSE)&gt;0.1,"Eficiente","n/a"))</f>
        <v>Ineficiente</v>
      </c>
      <c r="ET73" s="33" t="str">
        <f>IF(VLOOKUP(BP73,Fundamentus!A:U,16,FALSE)&lt;0.1,"Oper. Ineficiente",IF(VLOOKUP(BP73,Fundamentus!A:U,16,FALSE)&gt;0.1,"Oper.Eficiente","n/a"))</f>
        <v>Oper. Ineficiente</v>
      </c>
      <c r="EU73" s="34">
        <f>VLOOKUP(BP73,Fundamentus!A:U,14,FALSE)</f>
        <v>-0.37469999999999998</v>
      </c>
      <c r="EV73" s="17" t="str">
        <f>IF(VLOOKUP(BP73,Fundamentus!A:U,21,FALSE)&lt;0,"Negativo",IF(VLOOKUP(BP73,Fundamentus!A:U,21,FALSE)&lt;0.05,"Fraco",IF(VLOOKUP(BP73,Fundamentus!A:U,21,FALSE)&lt;0.1,"Bom",IF(VLOOKUP(BP73,Fundamentus!A:U,21,FALSE)&gt;0.1,"Muito bom","n/a"))))</f>
        <v>Muito bom</v>
      </c>
      <c r="EX73" s="29" t="str">
        <f>IF(VLOOKUP(BP73,Fundamentus!A:U,15,FALSE)&gt;1,"Bom",IF(VLOOKUP(BP73,Fundamentus!A:U,15,FALSE)&lt;1,"Ruim","n/a"))</f>
        <v>Ruim</v>
      </c>
      <c r="EY73" s="17" t="str">
        <f>IF(VLOOKUP(BP73,Fundamentus!A:U,20,FALSE)&lt;0.5,"Baixa",IF(VLOOKUP(BP73,Fundamentus!A:U,20,FALSE)&lt;1,"Moderada",IF(VLOOKUP(BP73,Fundamentus!A:U,20,FALSE)&lt;2,"Alerta",IF(VLOOKUP(BP73,Fundamentus!A:U,20,FALSE)&gt;2,"Alta","n/a"))))</f>
        <v>Alerta</v>
      </c>
      <c r="EZ73" s="10"/>
    </row>
    <row r="74" spans="1:156" s="2" customFormat="1" ht="11.25" x14ac:dyDescent="0.2">
      <c r="A74" s="4">
        <v>2.39</v>
      </c>
      <c r="B74" s="4">
        <v>2.27</v>
      </c>
      <c r="C74" s="4">
        <v>2.0099999999999998</v>
      </c>
      <c r="D74" s="4">
        <v>2.06</v>
      </c>
      <c r="E74" s="4">
        <v>1.93</v>
      </c>
      <c r="F74" s="4">
        <v>1.9</v>
      </c>
      <c r="G74" s="4">
        <v>2.0099999999999998</v>
      </c>
      <c r="H74" s="4">
        <v>1.9</v>
      </c>
      <c r="I74" s="4">
        <v>1.96</v>
      </c>
      <c r="J74" s="4">
        <v>2.06</v>
      </c>
      <c r="K74" s="4">
        <v>2.09</v>
      </c>
      <c r="L74" s="4">
        <v>1.87</v>
      </c>
      <c r="M74" s="4">
        <v>1.86</v>
      </c>
      <c r="N74" s="4">
        <v>1.85</v>
      </c>
      <c r="O74" s="4">
        <v>1.91</v>
      </c>
      <c r="P74" s="4">
        <v>1.92</v>
      </c>
      <c r="Q74" s="4">
        <v>2.25</v>
      </c>
      <c r="R74" s="4">
        <v>1.97</v>
      </c>
      <c r="S74" s="4">
        <v>1.9</v>
      </c>
      <c r="T74" s="4">
        <v>2.08</v>
      </c>
      <c r="U74" s="4">
        <v>1.87</v>
      </c>
      <c r="V74" s="4">
        <v>1.9</v>
      </c>
      <c r="W74" s="4">
        <v>1.84</v>
      </c>
      <c r="X74" s="4">
        <v>1.82</v>
      </c>
      <c r="Y74" s="4">
        <v>1.84</v>
      </c>
      <c r="Z74" s="4">
        <v>2.08</v>
      </c>
      <c r="AA74" s="4">
        <v>1.94</v>
      </c>
      <c r="AB74" s="4">
        <v>2.0499999999999998</v>
      </c>
      <c r="AC74" s="4">
        <v>2.2999999999999998</v>
      </c>
      <c r="AD74" s="4">
        <v>2.5299999999999998</v>
      </c>
      <c r="AE74" s="4">
        <v>2.39</v>
      </c>
      <c r="AF74" s="4">
        <v>2.06</v>
      </c>
      <c r="AG74" s="4">
        <v>1.96</v>
      </c>
      <c r="AH74" s="4">
        <v>1.55</v>
      </c>
      <c r="AI74" s="4">
        <v>1.4</v>
      </c>
      <c r="AJ74" s="4">
        <v>1.5</v>
      </c>
      <c r="AK74" s="4">
        <v>1.66</v>
      </c>
      <c r="AL74" s="4">
        <v>1.71</v>
      </c>
      <c r="AM74" s="4">
        <v>1.78</v>
      </c>
      <c r="AN74" s="4">
        <v>1.97</v>
      </c>
      <c r="AO74" s="4">
        <v>1.83</v>
      </c>
      <c r="AP74" s="4">
        <v>1.98</v>
      </c>
      <c r="AQ74" s="4">
        <v>1.84</v>
      </c>
      <c r="AR74" s="4">
        <v>1.73</v>
      </c>
      <c r="AS74" s="4">
        <v>1.87</v>
      </c>
      <c r="AT74" s="4">
        <v>2.02</v>
      </c>
      <c r="AU74" s="4">
        <v>2</v>
      </c>
      <c r="AV74" s="4">
        <v>2.2599999999999998</v>
      </c>
      <c r="AW74" s="4">
        <v>2.02</v>
      </c>
      <c r="AX74" s="4">
        <v>2.1800000000000002</v>
      </c>
      <c r="AY74" s="12">
        <v>2.23</v>
      </c>
      <c r="AZ74" s="12">
        <v>2.2999999999999998</v>
      </c>
      <c r="BA74" s="12">
        <v>2.17</v>
      </c>
      <c r="BB74" s="15">
        <v>2.21</v>
      </c>
      <c r="BC74" s="52">
        <v>2.2200000000000002</v>
      </c>
      <c r="BD74" s="52">
        <v>2.2400000000000002</v>
      </c>
      <c r="BE74" s="52">
        <v>2.37</v>
      </c>
      <c r="BF74" s="52">
        <v>2.54</v>
      </c>
      <c r="BG74" s="67">
        <v>2.31</v>
      </c>
      <c r="BH74" s="52">
        <v>2.29</v>
      </c>
      <c r="BI74" s="52">
        <v>2.35</v>
      </c>
      <c r="BJ74" s="52">
        <v>2.4900000000000002</v>
      </c>
      <c r="BK74" s="52">
        <v>2.37</v>
      </c>
      <c r="BL74" s="52">
        <v>2.39</v>
      </c>
      <c r="BM74" s="52">
        <v>2.42</v>
      </c>
      <c r="BN74" s="52">
        <v>2.35</v>
      </c>
      <c r="BO74" s="52" cm="1">
        <f t="array" aca="1" ref="BO74" ca="1">_FV(EC74,"Preço")</f>
        <v>2.35</v>
      </c>
      <c r="BP74" s="69" t="s">
        <v>71</v>
      </c>
      <c r="BQ74" s="36" cm="1">
        <f t="array" aca="1" ref="BQ74" ca="1">_FV(EC74,"Média de volume",TRUE)</f>
        <v>7871310</v>
      </c>
      <c r="BR74" s="36">
        <v>7980600</v>
      </c>
      <c r="BS74" s="36" cm="1">
        <f t="array" aca="1" ref="BS74" ca="1">_FV(EC74,"Volume")</f>
        <v>7980600</v>
      </c>
      <c r="BT74" s="24" cm="1">
        <f t="array" aca="1" ref="BT74" ca="1">_FV(EC74,"Beta")</f>
        <v>2.4597000000000002</v>
      </c>
      <c r="BU74" s="71" cm="1">
        <f t="array" aca="1" ref="BU74" ca="1">_FV(EC74,"Variação (%)",TRUE)</f>
        <v>-4.2370000000000003E-3</v>
      </c>
      <c r="BW74" s="17" cm="1">
        <f t="array" aca="1" ref="BW74" ca="1">_FV(EC74,"Baixo")</f>
        <v>2.3199999999999998</v>
      </c>
      <c r="BX74" s="17" cm="1">
        <f t="array" aca="1" ref="BX74" ca="1">_FV(EC74,"Alto")</f>
        <v>2.42</v>
      </c>
      <c r="BY74" s="24"/>
      <c r="BZ74" s="63" t="e">
        <f ca="1">SQRT(22.5*(BO74/VLOOKUP(BP74,Fundamentus!A:U,3,FALSE))*(BO74/VLOOKUP(BP74,Fundamentus!A:U,4,FALSE)))</f>
        <v>#NUM!</v>
      </c>
      <c r="CB74" s="62">
        <f t="shared" ca="1" si="112"/>
        <v>0</v>
      </c>
      <c r="CC74" s="8"/>
      <c r="CD74" s="61">
        <f t="shared" si="113"/>
        <v>1.4</v>
      </c>
      <c r="CE74" s="61">
        <f t="shared" si="114"/>
        <v>2.54</v>
      </c>
      <c r="CF74" s="61">
        <f t="shared" si="115"/>
        <v>2.0503030303030298</v>
      </c>
      <c r="CG74" s="14"/>
      <c r="CH74" s="35">
        <f t="shared" si="98"/>
        <v>2.2773475550741304</v>
      </c>
      <c r="CI74" s="15">
        <f t="shared" si="116"/>
        <v>2.375</v>
      </c>
      <c r="CJ74" s="35">
        <f t="shared" si="99"/>
        <v>2.4726524449258696</v>
      </c>
      <c r="CL74" s="14"/>
      <c r="CM74" s="17">
        <f t="shared" si="100"/>
        <v>0.5133333333333332</v>
      </c>
      <c r="CN74" s="17">
        <f t="shared" si="101"/>
        <v>0.95666666666666655</v>
      </c>
      <c r="CO74" s="17">
        <f t="shared" si="102"/>
        <v>1.6533333333333333</v>
      </c>
      <c r="CP74" s="38">
        <f t="shared" si="117"/>
        <v>2.0966666666666667</v>
      </c>
      <c r="CQ74" s="17">
        <f t="shared" si="103"/>
        <v>2.7933333333333334</v>
      </c>
      <c r="CR74" s="17">
        <f t="shared" si="104"/>
        <v>3.2366666666666668</v>
      </c>
      <c r="CS74" s="17">
        <f t="shared" si="105"/>
        <v>3.9333333333333336</v>
      </c>
      <c r="CT74" s="2" cm="1">
        <f t="array" aca="1" ref="CT74" ca="1">MAX(_xlfn._xlws.FILTER(CM74:CS74,CM74:CS74&lt;BO74))</f>
        <v>2.0966666666666667</v>
      </c>
      <c r="CU74" s="2" cm="1">
        <f t="array" aca="1" ref="CU74" ca="1">MIN(_xlfn._xlws.FILTER($CM74:$CS74,$CM74:$CS74&gt;BO74))</f>
        <v>2.7933333333333334</v>
      </c>
      <c r="CV74" s="16">
        <f t="shared" ca="1" si="80"/>
        <v>0.33227344992050889</v>
      </c>
      <c r="CW74" s="20">
        <f t="shared" ca="1" si="81"/>
        <v>-0.16613672496025444</v>
      </c>
      <c r="CX74" s="20">
        <f t="shared" ca="1" si="82"/>
        <v>-0.11075781664016963</v>
      </c>
      <c r="CY74" s="20">
        <f t="shared" ca="1" si="83"/>
        <v>-6.6454689984101784E-2</v>
      </c>
      <c r="CZ74" s="20">
        <f t="shared" ca="1" si="84"/>
        <v>-3.6919272213389878E-2</v>
      </c>
      <c r="DA74" s="20">
        <f t="shared" ca="1" si="85"/>
        <v>-1.9545497054147581E-2</v>
      </c>
      <c r="DB74" s="20">
        <f t="shared" ca="1" si="86"/>
        <v>-1.0068892421833602E-2</v>
      </c>
      <c r="DC74" s="20">
        <f t="shared" ca="1" si="87"/>
        <v>-5.1118992295462904E-3</v>
      </c>
      <c r="DD74" s="21">
        <f t="shared" ca="1" si="88"/>
        <v>5.1118992295462904E-3</v>
      </c>
      <c r="DE74" s="21">
        <f t="shared" ca="1" si="89"/>
        <v>1.0068892421833602E-2</v>
      </c>
      <c r="DF74" s="21">
        <f t="shared" ca="1" si="90"/>
        <v>1.9545497054147581E-2</v>
      </c>
      <c r="DG74" s="21">
        <f t="shared" ca="1" si="91"/>
        <v>3.6919272213389878E-2</v>
      </c>
      <c r="DH74" s="21">
        <f t="shared" ca="1" si="92"/>
        <v>6.6454689984101784E-2</v>
      </c>
      <c r="DI74" s="21">
        <f t="shared" ca="1" si="93"/>
        <v>0.11075781664016963</v>
      </c>
      <c r="DJ74" s="21">
        <f t="shared" ca="1" si="94"/>
        <v>0.16613672496025444</v>
      </c>
      <c r="DL74" s="16" cm="1">
        <f t="array" aca="1" ref="DL74" ca="1">MAX(_xlfn._xlws.FILTER(CW74:DJ74,CW74:DJ74&lt;BU74))</f>
        <v>-5.1118992295462904E-3</v>
      </c>
      <c r="DM74" s="16" cm="1">
        <f t="array" aca="1" ref="DM74" ca="1">MIN(_xlfn._xlws.FILTER(CW74:DJ74,CW74:DJ74&gt;BU74))</f>
        <v>5.1118992295462904E-3</v>
      </c>
      <c r="DN74" s="2" cm="1">
        <f t="array" aca="1" ref="DN74" ca="1">_FV(EC74,"Fechamento anterior",TRUE)</f>
        <v>2.36</v>
      </c>
      <c r="DO74" s="28">
        <f t="shared" ca="1" si="106"/>
        <v>8.5546589895387978E-2</v>
      </c>
      <c r="DP74" s="15">
        <f t="shared" ca="1" si="95"/>
        <v>2.3479359178182708</v>
      </c>
      <c r="DQ74" s="15">
        <f t="shared" ca="1" si="96"/>
        <v>2.3720640821817289</v>
      </c>
      <c r="DR74" s="9"/>
      <c r="DS74" s="9"/>
      <c r="DT74" s="9"/>
      <c r="DU74" s="89">
        <v>5.0199405649642625E-3</v>
      </c>
      <c r="DV74" s="89">
        <f t="shared" ca="1" si="107"/>
        <v>1.0223798459092581E-2</v>
      </c>
      <c r="DW74" s="72">
        <f t="shared" ca="1" si="108"/>
        <v>-0.25600997516219942</v>
      </c>
      <c r="DX74" s="37"/>
      <c r="DY74" s="35">
        <f t="shared" si="118"/>
        <v>4.8826222462934846E-2</v>
      </c>
      <c r="DZ74" s="56"/>
      <c r="EA74" s="56"/>
      <c r="EC74" s="2" t="e" vm="74">
        <v>#VALUE!</v>
      </c>
      <c r="EE74" s="10" cm="1">
        <f t="array" aca="1" ref="EE74" ca="1">_FV(EC74,"Ações em circulação",TRUE)</f>
        <v>525591100</v>
      </c>
      <c r="EF74" s="18">
        <f>VLOOKUP(BP74,Fundamentus!A:U,5,FALSE)</f>
        <v>0.88500000000000001</v>
      </c>
      <c r="EG74" s="2">
        <f t="shared" ca="1" si="109"/>
        <v>1395637384.1807909</v>
      </c>
      <c r="EH74" s="17">
        <v>-73829217.623163849</v>
      </c>
      <c r="EI74" s="17">
        <f t="shared" ca="1" si="110"/>
        <v>-73829217.623163849</v>
      </c>
      <c r="EK74" s="16">
        <f t="shared" ca="1" si="97"/>
        <v>0</v>
      </c>
      <c r="EL74" s="32" t="str">
        <f>IF(VLOOKUP(BP74,Fundamentus!A:U,3,FALSE)&lt;15,"Bom",IF(VLOOKUP(BP74,Fundamentus!A:U,3,FALSE)&gt;15,"Ruim","n/a"))</f>
        <v>Bom</v>
      </c>
      <c r="EM74" s="28" t="str">
        <f>IF(VLOOKUP(BP74,Fundamentus!A:U,4,FALSE)&lt;1,"Baixo",IF(VLOOKUP(BP74,Fundamentus!A:U,4,FALSE)&lt;1.5,"Moderado",IF(VLOOKUP(BP74,Fundamentus!A:U,4,FALSE)&gt;1.5,"Alto","n/a")))</f>
        <v>Alto</v>
      </c>
      <c r="EN74" s="17" t="str">
        <f>IF(VLOOKUP(BP74,Fundamentus!A:U,8,FALSE)&lt;0,"Risco elevado",IF(VLOOKUP(BP74,Fundamentus!A:U,8,FALSE)&lt;1,"Saudável",IF(VLOOKUP(BP74,Fundamentus!A:U,8,FALSE)&lt;3,"Estável",IF(VLOOKUP(BP74,Fundamentus!A:U,8,FALSE)&gt;3,"Alerta","n/a"))))</f>
        <v>Risco elevado</v>
      </c>
      <c r="EO74" s="28" t="str">
        <f t="shared" si="111"/>
        <v>Ruim</v>
      </c>
      <c r="EP74" s="17" t="str">
        <f>IF(VLOOKUP(BP74,Fundamentus!A:U,12,FALSE)&lt;2,"Subvalorizada",IF(VLOOKUP(BP74,Fundamentus!A:U,12,FALSE)&lt;6,"Muita barata",IF(VLOOKUP(BP74,Fundamentus!A:U,12,FALSE)&lt;6,"Barata",IF(VLOOKUP(BP74,Fundamentus!A:U,12,FALSE)&lt;8,"Atrativa",IF(VLOOKUP(BP74,Fundamentus!A:U,12,FALSE)&gt;8,"Supervalorizada","n/a")))))</f>
        <v>Muita barata</v>
      </c>
      <c r="ER74" s="17" t="str">
        <f>IF(VLOOKUP(BP74,Fundamentus!A:U,17,FALSE)&lt;0.1,"Fraco retorno",IF(VLOOKUP(BP74,Fundamentus!A:U,17,FALSE)&gt;0.1,"Bom retorno","n/a"))</f>
        <v>Fraco retorno</v>
      </c>
      <c r="ES74" s="17" t="str">
        <f>IF(VLOOKUP(BP74,Fundamentus!A:U,16,FALSE)&lt;0.1,"Ineficiente",IF(VLOOKUP(BP74,Fundamentus!A:U,16,FALSE)&gt;0.1,"Eficiente","n/a"))</f>
        <v>Ineficiente</v>
      </c>
      <c r="ET74" s="33" t="str">
        <f>IF(VLOOKUP(BP74,Fundamentus!A:U,16,FALSE)&lt;0.1,"Oper. Ineficiente",IF(VLOOKUP(BP74,Fundamentus!A:U,16,FALSE)&gt;0.1,"Oper.Eficiente","n/a"))</f>
        <v>Oper. Ineficiente</v>
      </c>
      <c r="EU74" s="34">
        <f>VLOOKUP(BP74,Fundamentus!A:U,14,FALSE)</f>
        <v>-5.2900000000000003E-2</v>
      </c>
      <c r="EV74" s="17" t="str">
        <f>IF(VLOOKUP(BP74,Fundamentus!A:U,21,FALSE)&lt;0,"Negativo",IF(VLOOKUP(BP74,Fundamentus!A:U,21,FALSE)&lt;0.05,"Fraco",IF(VLOOKUP(BP74,Fundamentus!A:U,21,FALSE)&lt;0.1,"Bom",IF(VLOOKUP(BP74,Fundamentus!A:U,21,FALSE)&gt;0.1,"Muito bom","n/a"))))</f>
        <v>Muito bom</v>
      </c>
      <c r="EX74" s="29" t="str">
        <f>IF(VLOOKUP(BP74,Fundamentus!A:U,15,FALSE)&gt;1,"Bom",IF(VLOOKUP(BP74,Fundamentus!A:U,15,FALSE)&lt;1,"Ruim","n/a"))</f>
        <v>Ruim</v>
      </c>
      <c r="EY74" s="17" t="str">
        <f>IF(VLOOKUP(BP74,Fundamentus!A:U,20,FALSE)&lt;0.5,"Baixa",IF(VLOOKUP(BP74,Fundamentus!A:U,20,FALSE)&lt;1,"Moderada",IF(VLOOKUP(BP74,Fundamentus!A:U,20,FALSE)&lt;2,"Alerta",IF(VLOOKUP(BP74,Fundamentus!A:U,20,FALSE)&gt;2,"Alta","n/a"))))</f>
        <v>Alerta</v>
      </c>
      <c r="EZ74" s="10"/>
    </row>
    <row r="75" spans="1:156" s="2" customFormat="1" ht="11.25" x14ac:dyDescent="0.2">
      <c r="A75" s="4">
        <v>40.35</v>
      </c>
      <c r="B75" s="4">
        <v>39.46</v>
      </c>
      <c r="C75" s="4">
        <v>41.74</v>
      </c>
      <c r="D75" s="4">
        <v>40.4</v>
      </c>
      <c r="E75" s="4">
        <v>40.69</v>
      </c>
      <c r="F75" s="4">
        <v>39.36</v>
      </c>
      <c r="G75" s="4">
        <v>37.68</v>
      </c>
      <c r="H75" s="4">
        <v>37.5</v>
      </c>
      <c r="I75" s="4">
        <v>38.56</v>
      </c>
      <c r="J75" s="4">
        <v>40.479999999999997</v>
      </c>
      <c r="K75" s="4">
        <v>42.02</v>
      </c>
      <c r="L75" s="4">
        <v>42.62</v>
      </c>
      <c r="M75" s="4">
        <v>43.84</v>
      </c>
      <c r="N75" s="4">
        <v>42.2</v>
      </c>
      <c r="O75" s="4">
        <v>44.58</v>
      </c>
      <c r="P75" s="4">
        <v>45.42</v>
      </c>
      <c r="Q75" s="4">
        <v>45.9</v>
      </c>
      <c r="R75" s="4">
        <v>46.27</v>
      </c>
      <c r="S75" s="4">
        <v>45.76</v>
      </c>
      <c r="T75" s="4">
        <v>48.86</v>
      </c>
      <c r="U75" s="4">
        <v>46.1</v>
      </c>
      <c r="V75" s="4">
        <v>48.05</v>
      </c>
      <c r="W75" s="4">
        <v>45.82</v>
      </c>
      <c r="X75" s="4">
        <v>45.32</v>
      </c>
      <c r="Y75" s="4">
        <v>46.69</v>
      </c>
      <c r="Z75" s="4">
        <v>46.72</v>
      </c>
      <c r="AA75" s="4">
        <v>45.75</v>
      </c>
      <c r="AB75" s="4">
        <v>46.49</v>
      </c>
      <c r="AC75" s="4">
        <v>45.35</v>
      </c>
      <c r="AD75" s="4">
        <v>44.25</v>
      </c>
      <c r="AE75" s="4">
        <v>41.71</v>
      </c>
      <c r="AF75" s="4">
        <v>41.46</v>
      </c>
      <c r="AG75" s="4">
        <v>41.26</v>
      </c>
      <c r="AH75" s="4">
        <v>38.79</v>
      </c>
      <c r="AI75" s="4">
        <v>38.06</v>
      </c>
      <c r="AJ75" s="4">
        <v>37.4</v>
      </c>
      <c r="AK75" s="4">
        <v>36.85</v>
      </c>
      <c r="AL75" s="4">
        <v>36.76</v>
      </c>
      <c r="AM75" s="4">
        <v>38.67</v>
      </c>
      <c r="AN75" s="4">
        <v>41.44</v>
      </c>
      <c r="AO75" s="4">
        <v>42.65</v>
      </c>
      <c r="AP75" s="4">
        <v>45.05</v>
      </c>
      <c r="AQ75" s="4">
        <v>43.58</v>
      </c>
      <c r="AR75" s="4">
        <v>41.62</v>
      </c>
      <c r="AS75" s="4">
        <v>42.05</v>
      </c>
      <c r="AT75" s="4">
        <v>43.65</v>
      </c>
      <c r="AU75" s="4">
        <v>43.475000000000001</v>
      </c>
      <c r="AV75" s="4">
        <v>42.67</v>
      </c>
      <c r="AW75" s="4">
        <v>41.47</v>
      </c>
      <c r="AX75" s="4">
        <v>41.46</v>
      </c>
      <c r="AY75" s="12">
        <v>44.55</v>
      </c>
      <c r="AZ75" s="12">
        <v>48.7</v>
      </c>
      <c r="BA75" s="12">
        <v>49.04</v>
      </c>
      <c r="BB75" s="15">
        <v>48.03</v>
      </c>
      <c r="BC75" s="52">
        <v>51.8</v>
      </c>
      <c r="BD75" s="52">
        <v>51.55</v>
      </c>
      <c r="BE75" s="52">
        <v>51.91</v>
      </c>
      <c r="BF75" s="52">
        <v>53.21</v>
      </c>
      <c r="BG75" s="67">
        <v>51.72</v>
      </c>
      <c r="BH75" s="52">
        <v>52.5</v>
      </c>
      <c r="BI75" s="52">
        <v>53.51</v>
      </c>
      <c r="BJ75" s="52">
        <v>53.6</v>
      </c>
      <c r="BK75" s="52">
        <v>51.22</v>
      </c>
      <c r="BL75" s="52">
        <v>49</v>
      </c>
      <c r="BM75" s="52">
        <v>48.27</v>
      </c>
      <c r="BN75" s="52">
        <v>47.93</v>
      </c>
      <c r="BO75" s="52" cm="1">
        <f t="array" aca="1" ref="BO75" ca="1">_FV(EC75,"Preço")</f>
        <v>47.93</v>
      </c>
      <c r="BP75" s="69" t="s">
        <v>72</v>
      </c>
      <c r="BQ75" s="36" cm="1">
        <f t="array" aca="1" ref="BQ75" ca="1">_FV(EC75,"Média de volume",TRUE)</f>
        <v>409390</v>
      </c>
      <c r="BR75" s="36">
        <v>295000</v>
      </c>
      <c r="BS75" s="36" cm="1">
        <f t="array" aca="1" ref="BS75" ca="1">_FV(EC75,"Volume")</f>
        <v>295000</v>
      </c>
      <c r="BT75" s="24" cm="1">
        <f t="array" aca="1" ref="BT75" ca="1">_FV(EC75,"Beta")</f>
        <v>0.91920000000000002</v>
      </c>
      <c r="BU75" s="71" cm="1">
        <f t="array" aca="1" ref="BU75" ca="1">_FV(EC75,"Variação (%)",TRUE)</f>
        <v>-8.3390000000000005E-4</v>
      </c>
      <c r="BW75" s="17" cm="1">
        <f t="array" aca="1" ref="BW75" ca="1">_FV(EC75,"Baixo")</f>
        <v>47.8</v>
      </c>
      <c r="BX75" s="17" cm="1">
        <f t="array" aca="1" ref="BX75" ca="1">_FV(EC75,"Alto")</f>
        <v>48.97</v>
      </c>
      <c r="BY75" s="24"/>
      <c r="BZ75" s="63">
        <f ca="1">SQRT(22.5*(BO75/VLOOKUP(BP75,Fundamentus!A:U,3,FALSE))*(BO75/VLOOKUP(BP75,Fundamentus!A:U,4,FALSE)))</f>
        <v>7.3378394659022295</v>
      </c>
      <c r="CB75" s="62">
        <f t="shared" ca="1" si="112"/>
        <v>0</v>
      </c>
      <c r="CC75" s="8"/>
      <c r="CD75" s="61">
        <f t="shared" si="113"/>
        <v>36.76</v>
      </c>
      <c r="CE75" s="61">
        <f t="shared" si="114"/>
        <v>53.6</v>
      </c>
      <c r="CF75" s="61">
        <f t="shared" si="115"/>
        <v>44.406742424242424</v>
      </c>
      <c r="CG75" s="14"/>
      <c r="CH75" s="35">
        <f t="shared" si="98"/>
        <v>42.191093809662249</v>
      </c>
      <c r="CI75" s="15">
        <f t="shared" si="116"/>
        <v>46.454999999999927</v>
      </c>
      <c r="CJ75" s="35">
        <f t="shared" si="99"/>
        <v>50.718906190337606</v>
      </c>
      <c r="CL75" s="14"/>
      <c r="CM75" s="17">
        <f t="shared" si="100"/>
        <v>21.753333333333323</v>
      </c>
      <c r="CN75" s="17">
        <f t="shared" si="101"/>
        <v>29.256666666666661</v>
      </c>
      <c r="CO75" s="17">
        <f t="shared" si="102"/>
        <v>38.593333333333327</v>
      </c>
      <c r="CP75" s="38">
        <f t="shared" si="117"/>
        <v>46.096666666666664</v>
      </c>
      <c r="CQ75" s="17">
        <f t="shared" si="103"/>
        <v>55.43333333333333</v>
      </c>
      <c r="CR75" s="17">
        <f t="shared" si="104"/>
        <v>62.936666666666667</v>
      </c>
      <c r="CS75" s="17">
        <f t="shared" si="105"/>
        <v>72.273333333333341</v>
      </c>
      <c r="CT75" s="2" cm="1">
        <f t="array" aca="1" ref="CT75" ca="1">MAX(_xlfn._xlws.FILTER(CM75:CS75,CM75:CS75&lt;BO75))</f>
        <v>46.096666666666664</v>
      </c>
      <c r="CU75" s="2" cm="1">
        <f t="array" aca="1" ref="CU75" ca="1">MIN(_xlfn._xlws.FILTER($CM75:$CS75,$CM75:$CS75&gt;BO75))</f>
        <v>55.43333333333333</v>
      </c>
      <c r="CV75" s="16">
        <f t="shared" ca="1" si="80"/>
        <v>0.20254537565984521</v>
      </c>
      <c r="CW75" s="20">
        <f t="shared" ca="1" si="81"/>
        <v>-0.1012726878299226</v>
      </c>
      <c r="CX75" s="20">
        <f t="shared" ca="1" si="82"/>
        <v>-6.7515125219948402E-2</v>
      </c>
      <c r="CY75" s="20">
        <f t="shared" ca="1" si="83"/>
        <v>-4.0509075131969038E-2</v>
      </c>
      <c r="CZ75" s="20">
        <f t="shared" ca="1" si="84"/>
        <v>-2.2505041739982801E-2</v>
      </c>
      <c r="DA75" s="20">
        <f t="shared" ca="1" si="85"/>
        <v>-1.1914433862343836E-2</v>
      </c>
      <c r="DB75" s="20">
        <f t="shared" ca="1" si="86"/>
        <v>-6.1377386563589457E-3</v>
      </c>
      <c r="DC75" s="20">
        <f t="shared" ca="1" si="87"/>
        <v>-3.1160827024591569E-3</v>
      </c>
      <c r="DD75" s="21">
        <f t="shared" ca="1" si="88"/>
        <v>3.1160827024591569E-3</v>
      </c>
      <c r="DE75" s="21">
        <f t="shared" ca="1" si="89"/>
        <v>6.1377386563589457E-3</v>
      </c>
      <c r="DF75" s="21">
        <f t="shared" ca="1" si="90"/>
        <v>1.1914433862343836E-2</v>
      </c>
      <c r="DG75" s="21">
        <f t="shared" ca="1" si="91"/>
        <v>2.2505041739982801E-2</v>
      </c>
      <c r="DH75" s="21">
        <f t="shared" ca="1" si="92"/>
        <v>4.0509075131969038E-2</v>
      </c>
      <c r="DI75" s="21">
        <f t="shared" ca="1" si="93"/>
        <v>6.7515125219948402E-2</v>
      </c>
      <c r="DJ75" s="21">
        <f t="shared" ca="1" si="94"/>
        <v>0.1012726878299226</v>
      </c>
      <c r="DL75" s="16" cm="1">
        <f t="array" aca="1" ref="DL75" ca="1">MAX(_xlfn._xlws.FILTER(CW75:DJ75,CW75:DJ75&lt;BU75))</f>
        <v>-3.1160827024591569E-3</v>
      </c>
      <c r="DM75" s="16" cm="1">
        <f t="array" aca="1" ref="DM75" ca="1">MIN(_xlfn._xlws.FILTER(CW75:DJ75,CW75:DJ75&gt;BU75))</f>
        <v>3.1160827024591569E-3</v>
      </c>
      <c r="DN75" s="2" cm="1">
        <f t="array" aca="1" ref="DN75" ca="1">_FV(EC75,"Fechamento anterior",TRUE)</f>
        <v>47.97</v>
      </c>
      <c r="DO75" s="28">
        <f t="shared" ca="1" si="106"/>
        <v>0.36620148243610839</v>
      </c>
      <c r="DP75" s="15">
        <f t="shared" ca="1" si="95"/>
        <v>47.82052151276303</v>
      </c>
      <c r="DQ75" s="15">
        <f t="shared" ca="1" si="96"/>
        <v>48.119478487236968</v>
      </c>
      <c r="DR75" s="9"/>
      <c r="DS75" s="9"/>
      <c r="DT75" s="9"/>
      <c r="DU75" s="89">
        <v>5.9513211400832166E-3</v>
      </c>
      <c r="DV75" s="89">
        <f t="shared" ca="1" si="107"/>
        <v>6.2321654049183137E-3</v>
      </c>
      <c r="DW75" s="72">
        <f t="shared" ca="1" si="108"/>
        <v>0.3459269351053102</v>
      </c>
      <c r="DX75" s="37"/>
      <c r="DY75" s="35">
        <f t="shared" si="118"/>
        <v>2.1319530951688406</v>
      </c>
      <c r="DZ75" s="56"/>
      <c r="EA75" s="56"/>
      <c r="EC75" s="2" t="e" vm="75">
        <v>#VALUE!</v>
      </c>
      <c r="EE75" s="10" cm="1">
        <f t="array" aca="1" ref="EE75" ca="1">_FV(EC75,"Ações em circulação",TRUE)</f>
        <v>109302800</v>
      </c>
      <c r="EF75" s="18">
        <f>VLOOKUP(BP75,Fundamentus!A:U,5,FALSE)</f>
        <v>4.9589999999999996</v>
      </c>
      <c r="EG75" s="2">
        <f t="shared" ca="1" si="109"/>
        <v>1056439444.2427909</v>
      </c>
      <c r="EH75" s="17">
        <v>46060759.768985681</v>
      </c>
      <c r="EI75" s="17">
        <f t="shared" ca="1" si="110"/>
        <v>46060759.768985681</v>
      </c>
      <c r="EK75" s="16">
        <f t="shared" ca="1" si="97"/>
        <v>0</v>
      </c>
      <c r="EL75" s="32" t="str">
        <f>IF(VLOOKUP(BP75,Fundamentus!A:U,3,FALSE)&lt;15,"Bom",IF(VLOOKUP(BP75,Fundamentus!A:U,3,FALSE)&gt;15,"Ruim","n/a"))</f>
        <v>Ruim</v>
      </c>
      <c r="EM75" s="28" t="str">
        <f>IF(VLOOKUP(BP75,Fundamentus!A:U,4,FALSE)&lt;1,"Baixo",IF(VLOOKUP(BP75,Fundamentus!A:U,4,FALSE)&lt;1.5,"Moderado",IF(VLOOKUP(BP75,Fundamentus!A:U,4,FALSE)&gt;1.5,"Alto","n/a")))</f>
        <v>Alto</v>
      </c>
      <c r="EN75" s="17" t="str">
        <f>IF(VLOOKUP(BP75,Fundamentus!A:U,8,FALSE)&lt;0,"Risco elevado",IF(VLOOKUP(BP75,Fundamentus!A:U,8,FALSE)&lt;1,"Saudável",IF(VLOOKUP(BP75,Fundamentus!A:U,8,FALSE)&lt;3,"Estável",IF(VLOOKUP(BP75,Fundamentus!A:U,8,FALSE)&gt;3,"Alerta","n/a"))))</f>
        <v>Alerta</v>
      </c>
      <c r="EO75" s="28" t="str">
        <f t="shared" si="111"/>
        <v>Bom</v>
      </c>
      <c r="EP75" s="17" t="str">
        <f>IF(VLOOKUP(BP75,Fundamentus!A:U,12,FALSE)&lt;2,"Subvalorizada",IF(VLOOKUP(BP75,Fundamentus!A:U,12,FALSE)&lt;6,"Muita barata",IF(VLOOKUP(BP75,Fundamentus!A:U,12,FALSE)&lt;6,"Barata",IF(VLOOKUP(BP75,Fundamentus!A:U,12,FALSE)&lt;8,"Atrativa",IF(VLOOKUP(BP75,Fundamentus!A:U,12,FALSE)&gt;8,"Supervalorizada","n/a")))))</f>
        <v>Supervalorizada</v>
      </c>
      <c r="ER75" s="17" t="str">
        <f>IF(VLOOKUP(BP75,Fundamentus!A:U,17,FALSE)&lt;0.1,"Fraco retorno",IF(VLOOKUP(BP75,Fundamentus!A:U,17,FALSE)&gt;0.1,"Bom retorno","n/a"))</f>
        <v>Fraco retorno</v>
      </c>
      <c r="ES75" s="17" t="str">
        <f>IF(VLOOKUP(BP75,Fundamentus!A:U,16,FALSE)&lt;0.1,"Ineficiente",IF(VLOOKUP(BP75,Fundamentus!A:U,16,FALSE)&gt;0.1,"Eficiente","n/a"))</f>
        <v>Ineficiente</v>
      </c>
      <c r="ET75" s="33" t="str">
        <f>IF(VLOOKUP(BP75,Fundamentus!A:U,16,FALSE)&lt;0.1,"Oper. Ineficiente",IF(VLOOKUP(BP75,Fundamentus!A:U,16,FALSE)&gt;0.1,"Oper.Eficiente","n/a"))</f>
        <v>Oper. Ineficiente</v>
      </c>
      <c r="EU75" s="34">
        <f>VLOOKUP(BP75,Fundamentus!A:U,14,FALSE)</f>
        <v>4.36E-2</v>
      </c>
      <c r="EV75" s="17" t="str">
        <f>IF(VLOOKUP(BP75,Fundamentus!A:U,21,FALSE)&lt;0,"Negativo",IF(VLOOKUP(BP75,Fundamentus!A:U,21,FALSE)&lt;0.05,"Fraco",IF(VLOOKUP(BP75,Fundamentus!A:U,21,FALSE)&lt;0.1,"Bom",IF(VLOOKUP(BP75,Fundamentus!A:U,21,FALSE)&gt;0.1,"Muito bom","n/a"))))</f>
        <v>Muito bom</v>
      </c>
      <c r="EX75" s="29" t="str">
        <f>IF(VLOOKUP(BP75,Fundamentus!A:U,15,FALSE)&gt;1,"Bom",IF(VLOOKUP(BP75,Fundamentus!A:U,15,FALSE)&lt;1,"Ruim","n/a"))</f>
        <v>Bom</v>
      </c>
      <c r="EY75" s="17" t="str">
        <f>IF(VLOOKUP(BP75,Fundamentus!A:U,20,FALSE)&lt;0.5,"Baixa",IF(VLOOKUP(BP75,Fundamentus!A:U,20,FALSE)&lt;1,"Moderada",IF(VLOOKUP(BP75,Fundamentus!A:U,20,FALSE)&lt;2,"Alerta",IF(VLOOKUP(BP75,Fundamentus!A:U,20,FALSE)&gt;2,"Alta","n/a"))))</f>
        <v>Alta</v>
      </c>
      <c r="EZ75" s="10"/>
    </row>
    <row r="76" spans="1:156" s="2" customFormat="1" ht="11.25" x14ac:dyDescent="0.2">
      <c r="A76" s="4">
        <v>44.5</v>
      </c>
      <c r="B76" s="4">
        <v>39.51</v>
      </c>
      <c r="C76" s="4">
        <v>37.42</v>
      </c>
      <c r="D76" s="4">
        <v>33.56</v>
      </c>
      <c r="E76" s="4">
        <v>31.41</v>
      </c>
      <c r="F76" s="4">
        <v>31.64</v>
      </c>
      <c r="G76" s="4">
        <v>31.93</v>
      </c>
      <c r="H76" s="4">
        <v>31.63</v>
      </c>
      <c r="I76" s="4">
        <v>31.6</v>
      </c>
      <c r="J76" s="4">
        <v>30.6</v>
      </c>
      <c r="K76" s="4">
        <v>31.47</v>
      </c>
      <c r="L76" s="4">
        <v>29.99</v>
      </c>
      <c r="M76" s="4">
        <v>29.21</v>
      </c>
      <c r="N76" s="4">
        <v>28.65</v>
      </c>
      <c r="O76" s="4">
        <v>29.44</v>
      </c>
      <c r="P76" s="4">
        <v>44.53</v>
      </c>
      <c r="Q76" s="4">
        <v>47.93</v>
      </c>
      <c r="R76" s="4">
        <v>48.38</v>
      </c>
      <c r="S76" s="4">
        <v>49.89</v>
      </c>
      <c r="T76" s="4">
        <v>47.34</v>
      </c>
      <c r="U76" s="4">
        <v>45.22</v>
      </c>
      <c r="V76" s="4">
        <v>45.55</v>
      </c>
      <c r="W76" s="4">
        <v>44.59</v>
      </c>
      <c r="X76" s="4">
        <v>43.47</v>
      </c>
      <c r="Y76" s="4">
        <v>41.88</v>
      </c>
      <c r="Z76" s="4">
        <v>41.35</v>
      </c>
      <c r="AA76" s="4">
        <v>41.69</v>
      </c>
      <c r="AB76" s="4">
        <v>40.82</v>
      </c>
      <c r="AC76" s="4">
        <v>40</v>
      </c>
      <c r="AD76" s="4">
        <v>39.43</v>
      </c>
      <c r="AE76" s="4">
        <v>41</v>
      </c>
      <c r="AF76" s="4">
        <v>38.96</v>
      </c>
      <c r="AG76" s="4">
        <v>39.5</v>
      </c>
      <c r="AH76" s="4">
        <v>38.5</v>
      </c>
      <c r="AI76" s="4">
        <v>43.35</v>
      </c>
      <c r="AJ76" s="4">
        <v>42.05</v>
      </c>
      <c r="AK76" s="4">
        <v>46.08</v>
      </c>
      <c r="AL76" s="4">
        <v>52.21</v>
      </c>
      <c r="AM76" s="4">
        <v>49.6</v>
      </c>
      <c r="AN76" s="4">
        <v>52.9</v>
      </c>
      <c r="AO76" s="4">
        <v>51.97</v>
      </c>
      <c r="AP76" s="4">
        <v>57.08</v>
      </c>
      <c r="AQ76" s="4">
        <v>54.17</v>
      </c>
      <c r="AR76" s="4">
        <v>47.14</v>
      </c>
      <c r="AS76" s="4">
        <v>46.91</v>
      </c>
      <c r="AT76" s="4">
        <v>48.54</v>
      </c>
      <c r="AU76" s="4">
        <v>51.994999999999997</v>
      </c>
      <c r="AV76" s="4">
        <v>52.21</v>
      </c>
      <c r="AW76" s="4">
        <v>48.82</v>
      </c>
      <c r="AX76" s="4">
        <v>44.63</v>
      </c>
      <c r="AY76" s="12">
        <v>46.03</v>
      </c>
      <c r="AZ76" s="12">
        <v>48.08</v>
      </c>
      <c r="BA76" s="12">
        <v>47.83</v>
      </c>
      <c r="BB76" s="15">
        <v>47.32</v>
      </c>
      <c r="BC76" s="52">
        <v>46.76</v>
      </c>
      <c r="BD76" s="52">
        <v>46.45</v>
      </c>
      <c r="BE76" s="52">
        <v>49.16</v>
      </c>
      <c r="BF76" s="52">
        <v>50.79</v>
      </c>
      <c r="BG76" s="67">
        <v>47.05</v>
      </c>
      <c r="BH76" s="52">
        <v>47.32</v>
      </c>
      <c r="BI76" s="52">
        <v>44.28</v>
      </c>
      <c r="BJ76" s="52">
        <v>46.6</v>
      </c>
      <c r="BK76" s="52">
        <v>44.36</v>
      </c>
      <c r="BL76" s="52">
        <v>44.2</v>
      </c>
      <c r="BM76" s="52">
        <v>44.6</v>
      </c>
      <c r="BN76" s="52">
        <v>44.32</v>
      </c>
      <c r="BO76" s="52" cm="1">
        <f t="array" aca="1" ref="BO76" ca="1">_FV(EC76,"Preço")</f>
        <v>44.32</v>
      </c>
      <c r="BP76" s="69" t="s">
        <v>73</v>
      </c>
      <c r="BQ76" s="36" cm="1">
        <f t="array" aca="1" ref="BQ76" ca="1">_FV(EC76,"Média de volume",TRUE)</f>
        <v>694890</v>
      </c>
      <c r="BR76" s="36">
        <v>815300</v>
      </c>
      <c r="BS76" s="36" cm="1">
        <f t="array" aca="1" ref="BS76" ca="1">_FV(EC76,"Volume")</f>
        <v>815300</v>
      </c>
      <c r="BT76" s="24" cm="1">
        <f t="array" aca="1" ref="BT76" ca="1">_FV(EC76,"Beta")</f>
        <v>1.4105000000000001</v>
      </c>
      <c r="BU76" s="71" cm="1">
        <f t="array" aca="1" ref="BU76" ca="1">_FV(EC76,"Variação (%)",TRUE)</f>
        <v>-2.5933999999999999E-2</v>
      </c>
      <c r="BW76" s="17" cm="1">
        <f t="array" aca="1" ref="BW76" ca="1">_FV(EC76,"Baixo")</f>
        <v>44.32</v>
      </c>
      <c r="BX76" s="17" cm="1">
        <f t="array" aca="1" ref="BX76" ca="1">_FV(EC76,"Alto")</f>
        <v>46.11</v>
      </c>
      <c r="BY76" s="24"/>
      <c r="BZ76" s="63" t="e">
        <f ca="1">SQRT(22.5*(BO76/VLOOKUP(BP76,Fundamentus!A:U,3,FALSE))*(BO76/VLOOKUP(BP76,Fundamentus!A:U,4,FALSE)))</f>
        <v>#NUM!</v>
      </c>
      <c r="CB76" s="62">
        <f t="shared" ca="1" si="112"/>
        <v>0</v>
      </c>
      <c r="CC76" s="8"/>
      <c r="CD76" s="61">
        <f t="shared" si="113"/>
        <v>28.65</v>
      </c>
      <c r="CE76" s="61">
        <f t="shared" si="114"/>
        <v>57.08</v>
      </c>
      <c r="CF76" s="61">
        <f t="shared" si="115"/>
        <v>43.142348484848497</v>
      </c>
      <c r="CG76" s="14"/>
      <c r="CH76" s="35">
        <f t="shared" si="98"/>
        <v>42.637175549311578</v>
      </c>
      <c r="CI76" s="15">
        <f t="shared" si="116"/>
        <v>44.44</v>
      </c>
      <c r="CJ76" s="35">
        <f t="shared" si="99"/>
        <v>46.242824450688417</v>
      </c>
      <c r="CL76" s="14"/>
      <c r="CM76" s="17">
        <f t="shared" si="100"/>
        <v>1.1899999999999906</v>
      </c>
      <c r="CN76" s="17">
        <f t="shared" si="101"/>
        <v>14.919999999999995</v>
      </c>
      <c r="CO76" s="17">
        <f t="shared" si="102"/>
        <v>29.61999999999999</v>
      </c>
      <c r="CP76" s="38">
        <f t="shared" si="117"/>
        <v>43.349999999999994</v>
      </c>
      <c r="CQ76" s="17">
        <f t="shared" si="103"/>
        <v>58.04999999999999</v>
      </c>
      <c r="CR76" s="17">
        <f t="shared" si="104"/>
        <v>71.78</v>
      </c>
      <c r="CS76" s="17">
        <f t="shared" si="105"/>
        <v>86.47999999999999</v>
      </c>
      <c r="CT76" s="2" cm="1">
        <f t="array" aca="1" ref="CT76" ca="1">MAX(_xlfn._xlws.FILTER(CM76:CS76,CM76:CS76&lt;BO76))</f>
        <v>43.349999999999994</v>
      </c>
      <c r="CU76" s="2" cm="1">
        <f t="array" aca="1" ref="CU76" ca="1">MIN(_xlfn._xlws.FILTER($CM76:$CS76,$CM76:$CS76&gt;BO76))</f>
        <v>58.04999999999999</v>
      </c>
      <c r="CV76" s="16">
        <f t="shared" ca="1" si="80"/>
        <v>0.33910034602076111</v>
      </c>
      <c r="CW76" s="20">
        <f t="shared" ca="1" si="81"/>
        <v>-0.16955017301038056</v>
      </c>
      <c r="CX76" s="20">
        <f t="shared" ca="1" si="82"/>
        <v>-0.11303344867358704</v>
      </c>
      <c r="CY76" s="20">
        <f t="shared" ca="1" si="83"/>
        <v>-6.782006920415222E-2</v>
      </c>
      <c r="CZ76" s="20">
        <f t="shared" ca="1" si="84"/>
        <v>-3.7677816224529009E-2</v>
      </c>
      <c r="DA76" s="20">
        <f t="shared" ca="1" si="85"/>
        <v>-1.994707917769183E-2</v>
      </c>
      <c r="DB76" s="20">
        <f t="shared" ca="1" si="86"/>
        <v>-1.0275768061235185E-2</v>
      </c>
      <c r="DC76" s="20">
        <f t="shared" ca="1" si="87"/>
        <v>-5.2169284003194018E-3</v>
      </c>
      <c r="DD76" s="21">
        <f t="shared" ca="1" si="88"/>
        <v>5.2169284003194018E-3</v>
      </c>
      <c r="DE76" s="21">
        <f t="shared" ca="1" si="89"/>
        <v>1.0275768061235185E-2</v>
      </c>
      <c r="DF76" s="21">
        <f t="shared" ca="1" si="90"/>
        <v>1.994707917769183E-2</v>
      </c>
      <c r="DG76" s="21">
        <f t="shared" ca="1" si="91"/>
        <v>3.7677816224529009E-2</v>
      </c>
      <c r="DH76" s="21">
        <f t="shared" ca="1" si="92"/>
        <v>6.782006920415222E-2</v>
      </c>
      <c r="DI76" s="21">
        <f t="shared" ca="1" si="93"/>
        <v>0.11303344867358704</v>
      </c>
      <c r="DJ76" s="21">
        <f t="shared" ca="1" si="94"/>
        <v>0.16955017301038056</v>
      </c>
      <c r="DL76" s="16" cm="1">
        <f t="array" aca="1" ref="DL76" ca="1">MAX(_xlfn._xlws.FILTER(CW76:DJ76,CW76:DJ76&lt;BU76))</f>
        <v>-3.7677816224529009E-2</v>
      </c>
      <c r="DM76" s="16" cm="1">
        <f t="array" aca="1" ref="DM76" ca="1">MIN(_xlfn._xlws.FILTER(CW76:DJ76,CW76:DJ76&gt;BU76))</f>
        <v>-1.994707917769183E-2</v>
      </c>
      <c r="DN76" s="2" cm="1">
        <f t="array" aca="1" ref="DN76" ca="1">_FV(EC76,"Fechamento anterior",TRUE)</f>
        <v>45.5</v>
      </c>
      <c r="DO76" s="28">
        <f t="shared" ca="1" si="106"/>
        <v>0.66233852881812105</v>
      </c>
      <c r="DP76" s="15">
        <f t="shared" ca="1" si="95"/>
        <v>43.785659361783928</v>
      </c>
      <c r="DQ76" s="15">
        <f t="shared" ca="1" si="96"/>
        <v>44.592407897415022</v>
      </c>
      <c r="DR76" s="9"/>
      <c r="DS76" s="9"/>
      <c r="DT76" s="9"/>
      <c r="DU76" s="89">
        <v>1.041507557323766E-2</v>
      </c>
      <c r="DV76" s="89">
        <f t="shared" ca="1" si="107"/>
        <v>1.773073704683718E-2</v>
      </c>
      <c r="DW76" s="72">
        <f t="shared" ca="1" si="108"/>
        <v>-6.6562221271280586E-2</v>
      </c>
      <c r="DX76" s="37"/>
      <c r="DY76" s="35">
        <f t="shared" si="118"/>
        <v>0.90141222534420962</v>
      </c>
      <c r="DZ76" s="56"/>
      <c r="EA76" s="56"/>
      <c r="EC76" s="2" t="e" vm="76">
        <v>#VALUE!</v>
      </c>
      <c r="EE76" s="10" cm="1">
        <f t="array" aca="1" ref="EE76" ca="1">_FV(EC76,"Ações em circulação",TRUE)</f>
        <v>81842890</v>
      </c>
      <c r="EF76" s="18">
        <f>VLOOKUP(BP76,Fundamentus!A:U,5,FALSE)</f>
        <v>0.61</v>
      </c>
      <c r="EG76" s="2">
        <f t="shared" ca="1" si="109"/>
        <v>5946355548.8524599</v>
      </c>
      <c r="EH76" s="17">
        <v>-101682679.88537706</v>
      </c>
      <c r="EI76" s="17">
        <f t="shared" ca="1" si="110"/>
        <v>-101682679.88537706</v>
      </c>
      <c r="EK76" s="16">
        <f t="shared" ca="1" si="97"/>
        <v>0</v>
      </c>
      <c r="EL76" s="32" t="str">
        <f>IF(VLOOKUP(BP76,Fundamentus!A:U,3,FALSE)&lt;15,"Bom",IF(VLOOKUP(BP76,Fundamentus!A:U,3,FALSE)&gt;15,"Ruim","n/a"))</f>
        <v>Bom</v>
      </c>
      <c r="EM76" s="28" t="str">
        <f>IF(VLOOKUP(BP76,Fundamentus!A:U,4,FALSE)&lt;1,"Baixo",IF(VLOOKUP(BP76,Fundamentus!A:U,4,FALSE)&lt;1.5,"Moderado",IF(VLOOKUP(BP76,Fundamentus!A:U,4,FALSE)&gt;1.5,"Alto","n/a")))</f>
        <v>Baixo</v>
      </c>
      <c r="EN76" s="17" t="str">
        <f>IF(VLOOKUP(BP76,Fundamentus!A:U,8,FALSE)&lt;0,"Risco elevado",IF(VLOOKUP(BP76,Fundamentus!A:U,8,FALSE)&lt;1,"Saudável",IF(VLOOKUP(BP76,Fundamentus!A:U,8,FALSE)&lt;3,"Estável",IF(VLOOKUP(BP76,Fundamentus!A:U,8,FALSE)&gt;3,"Alerta","n/a"))))</f>
        <v>Saudável</v>
      </c>
      <c r="EO76" s="28" t="str">
        <f t="shared" si="111"/>
        <v>Ruim</v>
      </c>
      <c r="EP76" s="17" t="str">
        <f>IF(VLOOKUP(BP76,Fundamentus!A:U,12,FALSE)&lt;2,"Subvalorizada",IF(VLOOKUP(BP76,Fundamentus!A:U,12,FALSE)&lt;6,"Muita barata",IF(VLOOKUP(BP76,Fundamentus!A:U,12,FALSE)&lt;6,"Barata",IF(VLOOKUP(BP76,Fundamentus!A:U,12,FALSE)&lt;8,"Atrativa",IF(VLOOKUP(BP76,Fundamentus!A:U,12,FALSE)&gt;8,"Supervalorizada","n/a")))))</f>
        <v>Subvalorizada</v>
      </c>
      <c r="ER76" s="17" t="str">
        <f>IF(VLOOKUP(BP76,Fundamentus!A:U,17,FALSE)&lt;0.1,"Fraco retorno",IF(VLOOKUP(BP76,Fundamentus!A:U,17,FALSE)&gt;0.1,"Bom retorno","n/a"))</f>
        <v>Fraco retorno</v>
      </c>
      <c r="ES76" s="17" t="str">
        <f>IF(VLOOKUP(BP76,Fundamentus!A:U,16,FALSE)&lt;0.1,"Ineficiente",IF(VLOOKUP(BP76,Fundamentus!A:U,16,FALSE)&gt;0.1,"Eficiente","n/a"))</f>
        <v>Ineficiente</v>
      </c>
      <c r="ET76" s="33" t="str">
        <f>IF(VLOOKUP(BP76,Fundamentus!A:U,16,FALSE)&lt;0.1,"Oper. Ineficiente",IF(VLOOKUP(BP76,Fundamentus!A:U,16,FALSE)&gt;0.1,"Oper.Eficiente","n/a"))</f>
        <v>Oper. Ineficiente</v>
      </c>
      <c r="EU76" s="34">
        <f>VLOOKUP(BP76,Fundamentus!A:U,14,FALSE)</f>
        <v>-1.7100000000000001E-2</v>
      </c>
      <c r="EV76" s="17" t="str">
        <f>IF(VLOOKUP(BP76,Fundamentus!A:U,21,FALSE)&lt;0,"Negativo",IF(VLOOKUP(BP76,Fundamentus!A:U,21,FALSE)&lt;0.05,"Fraco",IF(VLOOKUP(BP76,Fundamentus!A:U,21,FALSE)&lt;0.1,"Bom",IF(VLOOKUP(BP76,Fundamentus!A:U,21,FALSE)&gt;0.1,"Muito bom","n/a"))))</f>
        <v>Fraco</v>
      </c>
      <c r="EX76" s="29" t="str">
        <f>IF(VLOOKUP(BP76,Fundamentus!A:U,15,FALSE)&gt;1,"Bom",IF(VLOOKUP(BP76,Fundamentus!A:U,15,FALSE)&lt;1,"Ruim","n/a"))</f>
        <v>Ruim</v>
      </c>
      <c r="EY76" s="17" t="str">
        <f>IF(VLOOKUP(BP76,Fundamentus!A:U,20,FALSE)&lt;0.5,"Baixa",IF(VLOOKUP(BP76,Fundamentus!A:U,20,FALSE)&lt;1,"Moderada",IF(VLOOKUP(BP76,Fundamentus!A:U,20,FALSE)&lt;2,"Alerta",IF(VLOOKUP(BP76,Fundamentus!A:U,20,FALSE)&gt;2,"Alta","n/a"))))</f>
        <v>Baixa</v>
      </c>
      <c r="EZ76" s="10"/>
    </row>
    <row r="77" spans="1:156" s="2" customFormat="1" ht="11.25" x14ac:dyDescent="0.2">
      <c r="A77" s="4">
        <v>9.85</v>
      </c>
      <c r="B77" s="4">
        <v>10.130000000000001</v>
      </c>
      <c r="C77" s="4">
        <v>11.29</v>
      </c>
      <c r="D77" s="4">
        <v>11.64</v>
      </c>
      <c r="E77" s="4">
        <v>11.94</v>
      </c>
      <c r="F77" s="4">
        <v>11.75</v>
      </c>
      <c r="G77" s="4">
        <v>11.35</v>
      </c>
      <c r="H77" s="4">
        <v>11.45</v>
      </c>
      <c r="I77" s="4">
        <v>11.2</v>
      </c>
      <c r="J77" s="4">
        <v>11.19</v>
      </c>
      <c r="K77" s="4">
        <v>11.28</v>
      </c>
      <c r="L77" s="4">
        <v>11.44</v>
      </c>
      <c r="M77" s="4">
        <v>11.55</v>
      </c>
      <c r="N77" s="4">
        <v>12.43</v>
      </c>
      <c r="O77" s="4">
        <v>15.86</v>
      </c>
      <c r="P77" s="4">
        <v>15</v>
      </c>
      <c r="Q77" s="4">
        <v>13.03</v>
      </c>
      <c r="R77" s="4">
        <v>13.49</v>
      </c>
      <c r="S77" s="4">
        <v>15.41</v>
      </c>
      <c r="T77" s="4">
        <v>14.37</v>
      </c>
      <c r="U77" s="4">
        <v>14.07</v>
      </c>
      <c r="V77" s="4">
        <v>14.32</v>
      </c>
      <c r="W77" s="4">
        <v>14.04</v>
      </c>
      <c r="X77" s="4">
        <v>13.82</v>
      </c>
      <c r="Y77" s="4">
        <v>13.08</v>
      </c>
      <c r="Z77" s="4">
        <v>13.5</v>
      </c>
      <c r="AA77" s="4">
        <v>13.23</v>
      </c>
      <c r="AB77" s="4">
        <v>14.97</v>
      </c>
      <c r="AC77" s="4">
        <v>14.49</v>
      </c>
      <c r="AD77" s="4">
        <v>13.86</v>
      </c>
      <c r="AE77" s="4">
        <v>14.28</v>
      </c>
      <c r="AF77" s="4">
        <v>13.68</v>
      </c>
      <c r="AG77" s="4">
        <v>13.26</v>
      </c>
      <c r="AH77" s="4">
        <v>13.03</v>
      </c>
      <c r="AI77" s="4">
        <v>13.33</v>
      </c>
      <c r="AJ77" s="4">
        <v>13.22</v>
      </c>
      <c r="AK77" s="4">
        <v>13.16</v>
      </c>
      <c r="AL77" s="4">
        <v>13.6</v>
      </c>
      <c r="AM77" s="4">
        <v>13.88</v>
      </c>
      <c r="AN77" s="4">
        <v>13.63</v>
      </c>
      <c r="AO77" s="4">
        <v>13.84</v>
      </c>
      <c r="AP77" s="4">
        <v>13.52</v>
      </c>
      <c r="AQ77" s="4">
        <v>13.39</v>
      </c>
      <c r="AR77" s="4">
        <v>13.1</v>
      </c>
      <c r="AS77" s="4">
        <v>13.78</v>
      </c>
      <c r="AT77" s="4">
        <v>13</v>
      </c>
      <c r="AU77" s="4">
        <v>13.085000000000001</v>
      </c>
      <c r="AV77" s="4">
        <v>13.82</v>
      </c>
      <c r="AW77" s="4">
        <v>13.39</v>
      </c>
      <c r="AX77" s="4">
        <v>13.5</v>
      </c>
      <c r="AY77" s="12">
        <v>14.22</v>
      </c>
      <c r="AZ77" s="12">
        <v>14.22</v>
      </c>
      <c r="BA77" s="12">
        <v>13.97</v>
      </c>
      <c r="BB77" s="15">
        <v>14.07</v>
      </c>
      <c r="BC77" s="52">
        <v>15.38</v>
      </c>
      <c r="BD77" s="52">
        <v>14.57</v>
      </c>
      <c r="BE77" s="52">
        <v>14.62</v>
      </c>
      <c r="BF77" s="52">
        <v>14.42</v>
      </c>
      <c r="BG77" s="67">
        <v>14.65</v>
      </c>
      <c r="BH77" s="52">
        <v>14.05</v>
      </c>
      <c r="BI77" s="52">
        <v>14.1</v>
      </c>
      <c r="BJ77" s="52">
        <v>14.5</v>
      </c>
      <c r="BK77" s="52">
        <v>14.3</v>
      </c>
      <c r="BL77" s="52">
        <v>14.14</v>
      </c>
      <c r="BM77" s="52">
        <v>13.91</v>
      </c>
      <c r="BN77" s="52">
        <v>12.98</v>
      </c>
      <c r="BO77" s="52" cm="1">
        <f t="array" aca="1" ref="BO77" ca="1">_FV(EC77,"Preço")</f>
        <v>12.98</v>
      </c>
      <c r="BP77" s="69" t="s">
        <v>74</v>
      </c>
      <c r="BQ77" s="36" cm="1">
        <f t="array" aca="1" ref="BQ77" ca="1">_FV(EC77,"Média de volume",TRUE)</f>
        <v>20030</v>
      </c>
      <c r="BR77" s="36">
        <v>20900</v>
      </c>
      <c r="BS77" s="36" cm="1">
        <f t="array" aca="1" ref="BS77" ca="1">_FV(EC77,"Volume")</f>
        <v>20900</v>
      </c>
      <c r="BT77" s="24" cm="1">
        <f t="array" aca="1" ref="BT77" ca="1">_FV(EC77,"Beta")</f>
        <v>0.59199999999999997</v>
      </c>
      <c r="BU77" s="71" cm="1">
        <f t="array" aca="1" ref="BU77" ca="1">_FV(EC77,"Variação (%)",TRUE)</f>
        <v>-1.5175000000000001E-2</v>
      </c>
      <c r="BW77" s="17" cm="1">
        <f t="array" aca="1" ref="BW77" ca="1">_FV(EC77,"Baixo")</f>
        <v>12.98</v>
      </c>
      <c r="BX77" s="17" cm="1">
        <f t="array" aca="1" ref="BX77" ca="1">_FV(EC77,"Alto")</f>
        <v>13.41</v>
      </c>
      <c r="BY77" s="24"/>
      <c r="BZ77" s="63">
        <f ca="1">SQRT(22.5*(BO77/VLOOKUP(BP77,Fundamentus!A:U,3,FALSE))*(BO77/VLOOKUP(BP77,Fundamentus!A:U,4,FALSE)))</f>
        <v>35.145320433694963</v>
      </c>
      <c r="CB77" s="62">
        <f t="shared" ca="1" si="112"/>
        <v>0</v>
      </c>
      <c r="CC77" s="8"/>
      <c r="CD77" s="61">
        <f t="shared" si="113"/>
        <v>9.85</v>
      </c>
      <c r="CE77" s="61">
        <f t="shared" si="114"/>
        <v>15.86</v>
      </c>
      <c r="CF77" s="61">
        <f t="shared" si="115"/>
        <v>13.373106060606064</v>
      </c>
      <c r="CG77" s="14"/>
      <c r="CH77" s="35">
        <f t="shared" si="98"/>
        <v>11.725822960974256</v>
      </c>
      <c r="CI77" s="15">
        <f t="shared" si="116"/>
        <v>12.785000000000309</v>
      </c>
      <c r="CJ77" s="35">
        <f t="shared" si="99"/>
        <v>13.844177039026363</v>
      </c>
      <c r="CL77" s="14"/>
      <c r="CM77" s="17">
        <f t="shared" si="100"/>
        <v>3.9233333333333338</v>
      </c>
      <c r="CN77" s="17">
        <f t="shared" si="101"/>
        <v>6.8866666666666667</v>
      </c>
      <c r="CO77" s="17">
        <f t="shared" si="102"/>
        <v>9.9333333333333336</v>
      </c>
      <c r="CP77" s="38">
        <f t="shared" si="117"/>
        <v>12.896666666666667</v>
      </c>
      <c r="CQ77" s="17">
        <f t="shared" si="103"/>
        <v>15.943333333333333</v>
      </c>
      <c r="CR77" s="17">
        <f t="shared" si="104"/>
        <v>18.906666666666666</v>
      </c>
      <c r="CS77" s="17">
        <f t="shared" si="105"/>
        <v>21.953333333333333</v>
      </c>
      <c r="CT77" s="2" cm="1">
        <f t="array" aca="1" ref="CT77" ca="1">MAX(_xlfn._xlws.FILTER(CM77:CS77,CM77:CS77&lt;BO77))</f>
        <v>12.896666666666667</v>
      </c>
      <c r="CU77" s="2" cm="1">
        <f t="array" aca="1" ref="CU77" ca="1">MIN(_xlfn._xlws.FILTER($CM77:$CS77,$CM77:$CS77&gt;BO77))</f>
        <v>15.943333333333333</v>
      </c>
      <c r="CV77" s="16">
        <f t="shared" ca="1" si="80"/>
        <v>0.23623675368312225</v>
      </c>
      <c r="CW77" s="20">
        <f t="shared" ca="1" si="81"/>
        <v>-0.11811837684156112</v>
      </c>
      <c r="CX77" s="20">
        <f t="shared" ca="1" si="82"/>
        <v>-7.8745584561040749E-2</v>
      </c>
      <c r="CY77" s="20">
        <f t="shared" ca="1" si="83"/>
        <v>-4.7247350736624449E-2</v>
      </c>
      <c r="CZ77" s="20">
        <f t="shared" ca="1" si="84"/>
        <v>-2.6248528187013582E-2</v>
      </c>
      <c r="DA77" s="20">
        <f t="shared" ca="1" si="85"/>
        <v>-1.3896279628418955E-2</v>
      </c>
      <c r="DB77" s="20">
        <f t="shared" ca="1" si="86"/>
        <v>-7.1586895055491592E-3</v>
      </c>
      <c r="DC77" s="20">
        <f t="shared" ca="1" si="87"/>
        <v>-3.6344115951249577E-3</v>
      </c>
      <c r="DD77" s="21">
        <f t="shared" ca="1" si="88"/>
        <v>3.6344115951249577E-3</v>
      </c>
      <c r="DE77" s="21">
        <f t="shared" ca="1" si="89"/>
        <v>7.1586895055491592E-3</v>
      </c>
      <c r="DF77" s="21">
        <f t="shared" ca="1" si="90"/>
        <v>1.3896279628418955E-2</v>
      </c>
      <c r="DG77" s="21">
        <f t="shared" ca="1" si="91"/>
        <v>2.6248528187013582E-2</v>
      </c>
      <c r="DH77" s="21">
        <f t="shared" ca="1" si="92"/>
        <v>4.7247350736624449E-2</v>
      </c>
      <c r="DI77" s="21">
        <f t="shared" ca="1" si="93"/>
        <v>7.8745584561040749E-2</v>
      </c>
      <c r="DJ77" s="21">
        <f t="shared" ca="1" si="94"/>
        <v>0.11811837684156112</v>
      </c>
      <c r="DL77" s="16" cm="1">
        <f t="array" aca="1" ref="DL77" ca="1">MAX(_xlfn._xlws.FILTER(CW77:DJ77,CW77:DJ77&lt;BU77))</f>
        <v>-2.6248528187013582E-2</v>
      </c>
      <c r="DM77" s="16" cm="1">
        <f t="array" aca="1" ref="DM77" ca="1">MIN(_xlfn._xlws.FILTER(CW77:DJ77,CW77:DJ77&gt;BU77))</f>
        <v>-1.3896279628418955E-2</v>
      </c>
      <c r="DN77" s="2" cm="1">
        <f t="array" aca="1" ref="DN77" ca="1">_FV(EC77,"Fechamento anterior",TRUE)</f>
        <v>13.18</v>
      </c>
      <c r="DO77" s="28">
        <f t="shared" ca="1" si="106"/>
        <v>0.89651866265112323</v>
      </c>
      <c r="DP77" s="15">
        <f t="shared" ca="1" si="95"/>
        <v>12.834044398495161</v>
      </c>
      <c r="DQ77" s="15">
        <f t="shared" ca="1" si="96"/>
        <v>12.996847034497439</v>
      </c>
      <c r="DR77" s="9"/>
      <c r="DS77" s="9"/>
      <c r="DT77" s="9"/>
      <c r="DU77" s="89">
        <v>7.3716722915925879E-3</v>
      </c>
      <c r="DV77" s="89">
        <f t="shared" ca="1" si="107"/>
        <v>1.2352248558594627E-2</v>
      </c>
      <c r="DW77" s="72">
        <f t="shared" ca="1" si="108"/>
        <v>0.18410519942822762</v>
      </c>
      <c r="DX77" s="37"/>
      <c r="DY77" s="35">
        <f t="shared" si="118"/>
        <v>0.52958851951302721</v>
      </c>
      <c r="DZ77" s="56"/>
      <c r="EA77" s="56"/>
      <c r="EC77" s="2" t="e" vm="77">
        <v>#VALUE!</v>
      </c>
      <c r="EE77" s="10" cm="1">
        <f t="array" aca="1" ref="EE77" ca="1">_FV(EC77,"Ações em circulação",TRUE)</f>
        <v>22500000</v>
      </c>
      <c r="EF77" s="18">
        <f>VLOOKUP(BP77,Fundamentus!A:U,5,FALSE)</f>
        <v>0.53200000000000003</v>
      </c>
      <c r="EG77" s="2">
        <f t="shared" ca="1" si="109"/>
        <v>548966165.41353381</v>
      </c>
      <c r="EH77" s="17">
        <v>88548242.481203005</v>
      </c>
      <c r="EI77" s="17">
        <f t="shared" ca="1" si="110"/>
        <v>88548242.481203005</v>
      </c>
      <c r="EK77" s="16">
        <f t="shared" ca="1" si="97"/>
        <v>0</v>
      </c>
      <c r="EL77" s="32" t="str">
        <f>IF(VLOOKUP(BP77,Fundamentus!A:U,3,FALSE)&lt;15,"Bom",IF(VLOOKUP(BP77,Fundamentus!A:U,3,FALSE)&gt;15,"Ruim","n/a"))</f>
        <v>Bom</v>
      </c>
      <c r="EM77" s="28" t="str">
        <f>IF(VLOOKUP(BP77,Fundamentus!A:U,4,FALSE)&lt;1,"Baixo",IF(VLOOKUP(BP77,Fundamentus!A:U,4,FALSE)&lt;1.5,"Moderado",IF(VLOOKUP(BP77,Fundamentus!A:U,4,FALSE)&gt;1.5,"Alto","n/a")))</f>
        <v>Baixo</v>
      </c>
      <c r="EN77" s="17" t="str">
        <f>IF(VLOOKUP(BP77,Fundamentus!A:U,8,FALSE)&lt;0,"Risco elevado",IF(VLOOKUP(BP77,Fundamentus!A:U,8,FALSE)&lt;1,"Saudável",IF(VLOOKUP(BP77,Fundamentus!A:U,8,FALSE)&lt;3,"Estável",IF(VLOOKUP(BP77,Fundamentus!A:U,8,FALSE)&gt;3,"Alerta","n/a"))))</f>
        <v>Alerta</v>
      </c>
      <c r="EO77" s="28" t="str">
        <f t="shared" si="111"/>
        <v>Ruim</v>
      </c>
      <c r="EP77" s="17" t="str">
        <f>IF(VLOOKUP(BP77,Fundamentus!A:U,12,FALSE)&lt;2,"Subvalorizada",IF(VLOOKUP(BP77,Fundamentus!A:U,12,FALSE)&lt;6,"Muita barata",IF(VLOOKUP(BP77,Fundamentus!A:U,12,FALSE)&lt;6,"Barata",IF(VLOOKUP(BP77,Fundamentus!A:U,12,FALSE)&lt;8,"Atrativa",IF(VLOOKUP(BP77,Fundamentus!A:U,12,FALSE)&gt;8,"Supervalorizada","n/a")))))</f>
        <v>Muita barata</v>
      </c>
      <c r="ER77" s="17" t="str">
        <f>IF(VLOOKUP(BP77,Fundamentus!A:U,17,FALSE)&lt;0.1,"Fraco retorno",IF(VLOOKUP(BP77,Fundamentus!A:U,17,FALSE)&gt;0.1,"Bom retorno","n/a"))</f>
        <v>Bom retorno</v>
      </c>
      <c r="ES77" s="17" t="str">
        <f>IF(VLOOKUP(BP77,Fundamentus!A:U,16,FALSE)&lt;0.1,"Ineficiente",IF(VLOOKUP(BP77,Fundamentus!A:U,16,FALSE)&gt;0.1,"Eficiente","n/a"))</f>
        <v>Eficiente</v>
      </c>
      <c r="ET77" s="33" t="str">
        <f>IF(VLOOKUP(BP77,Fundamentus!A:U,16,FALSE)&lt;0.1,"Oper. Ineficiente",IF(VLOOKUP(BP77,Fundamentus!A:U,16,FALSE)&gt;0.1,"Oper.Eficiente","n/a"))</f>
        <v>Oper.Eficiente</v>
      </c>
      <c r="EU77" s="34">
        <f>VLOOKUP(BP77,Fundamentus!A:U,14,FALSE)</f>
        <v>0.1613</v>
      </c>
      <c r="EV77" s="17" t="str">
        <f>IF(VLOOKUP(BP77,Fundamentus!A:U,21,FALSE)&lt;0,"Negativo",IF(VLOOKUP(BP77,Fundamentus!A:U,21,FALSE)&lt;0.05,"Fraco",IF(VLOOKUP(BP77,Fundamentus!A:U,21,FALSE)&lt;0.1,"Bom",IF(VLOOKUP(BP77,Fundamentus!A:U,21,FALSE)&gt;0.1,"Muito bom","n/a"))))</f>
        <v>Muito bom</v>
      </c>
      <c r="EX77" s="29" t="str">
        <f>IF(VLOOKUP(BP77,Fundamentus!A:U,15,FALSE)&gt;1,"Bom",IF(VLOOKUP(BP77,Fundamentus!A:U,15,FALSE)&lt;1,"Ruim","n/a"))</f>
        <v>Bom</v>
      </c>
      <c r="EY77" s="17" t="str">
        <f>IF(VLOOKUP(BP77,Fundamentus!A:U,20,FALSE)&lt;0.5,"Baixa",IF(VLOOKUP(BP77,Fundamentus!A:U,20,FALSE)&lt;1,"Moderada",IF(VLOOKUP(BP77,Fundamentus!A:U,20,FALSE)&lt;2,"Alerta",IF(VLOOKUP(BP77,Fundamentus!A:U,20,FALSE)&gt;2,"Alta","n/a"))))</f>
        <v>Baixa</v>
      </c>
      <c r="EZ77" s="10"/>
    </row>
    <row r="78" spans="1:156" s="2" customFormat="1" ht="11.25" x14ac:dyDescent="0.2">
      <c r="A78" s="4">
        <v>5.98</v>
      </c>
      <c r="B78" s="4">
        <v>5.93</v>
      </c>
      <c r="C78" s="4">
        <v>6.44</v>
      </c>
      <c r="D78" s="4">
        <v>6.15</v>
      </c>
      <c r="E78" s="4">
        <v>6.18</v>
      </c>
      <c r="F78" s="4">
        <v>6.27</v>
      </c>
      <c r="G78" s="4">
        <v>6.09</v>
      </c>
      <c r="H78" s="4">
        <v>5.92</v>
      </c>
      <c r="I78" s="4">
        <v>5.78</v>
      </c>
      <c r="J78" s="4">
        <v>6</v>
      </c>
      <c r="K78" s="4">
        <v>6.1</v>
      </c>
      <c r="L78" s="4">
        <v>6.04</v>
      </c>
      <c r="M78" s="4">
        <v>5.93</v>
      </c>
      <c r="N78" s="4">
        <v>5.9</v>
      </c>
      <c r="O78" s="4">
        <v>6.17</v>
      </c>
      <c r="P78" s="4">
        <v>6.19</v>
      </c>
      <c r="Q78" s="4">
        <v>6.22</v>
      </c>
      <c r="R78" s="4">
        <v>6</v>
      </c>
      <c r="S78" s="4">
        <v>6.03</v>
      </c>
      <c r="T78" s="4">
        <v>6.18</v>
      </c>
      <c r="U78" s="4">
        <v>5.67</v>
      </c>
      <c r="V78" s="4">
        <v>5.62</v>
      </c>
      <c r="W78" s="4">
        <v>5.66</v>
      </c>
      <c r="X78" s="4">
        <v>5.46</v>
      </c>
      <c r="Y78" s="4">
        <v>5.25</v>
      </c>
      <c r="Z78" s="4">
        <v>5.24</v>
      </c>
      <c r="AA78" s="4">
        <v>5.2</v>
      </c>
      <c r="AB78" s="4">
        <v>5.28</v>
      </c>
      <c r="AC78" s="4">
        <v>5.31</v>
      </c>
      <c r="AD78" s="4">
        <v>5.29</v>
      </c>
      <c r="AE78" s="4">
        <v>5.18</v>
      </c>
      <c r="AF78" s="4">
        <v>5.28</v>
      </c>
      <c r="AG78" s="4">
        <v>5.28</v>
      </c>
      <c r="AH78" s="4">
        <v>5.01</v>
      </c>
      <c r="AI78" s="4">
        <v>5.01</v>
      </c>
      <c r="AJ78" s="4">
        <v>5.18</v>
      </c>
      <c r="AK78" s="4">
        <v>5.15</v>
      </c>
      <c r="AL78" s="4">
        <v>5.42</v>
      </c>
      <c r="AM78" s="4">
        <v>5.56</v>
      </c>
      <c r="AN78" s="4">
        <v>5.72</v>
      </c>
      <c r="AO78" s="4">
        <v>5.6</v>
      </c>
      <c r="AP78" s="4">
        <v>5.65</v>
      </c>
      <c r="AQ78" s="4">
        <v>5.46</v>
      </c>
      <c r="AR78" s="4">
        <v>5.59</v>
      </c>
      <c r="AS78" s="4">
        <v>5.86</v>
      </c>
      <c r="AT78" s="4">
        <v>5.82</v>
      </c>
      <c r="AU78" s="4">
        <v>5.6400000000000006</v>
      </c>
      <c r="AV78" s="4">
        <v>5.67</v>
      </c>
      <c r="AW78" s="4">
        <v>5.68</v>
      </c>
      <c r="AX78" s="4">
        <v>5.58</v>
      </c>
      <c r="AY78" s="12">
        <v>5.59</v>
      </c>
      <c r="AZ78" s="12">
        <v>5.36</v>
      </c>
      <c r="BA78" s="12">
        <v>5.56</v>
      </c>
      <c r="BB78" s="15">
        <v>5.64</v>
      </c>
      <c r="BC78" s="52">
        <v>5.39</v>
      </c>
      <c r="BD78" s="52">
        <v>5.28</v>
      </c>
      <c r="BE78" s="52">
        <v>5.39</v>
      </c>
      <c r="BF78" s="52">
        <v>5.32</v>
      </c>
      <c r="BG78" s="67">
        <v>5.5</v>
      </c>
      <c r="BH78" s="52">
        <v>5.38</v>
      </c>
      <c r="BI78" s="52">
        <v>5.4</v>
      </c>
      <c r="BJ78" s="52">
        <v>5.46</v>
      </c>
      <c r="BK78" s="52">
        <v>5.31</v>
      </c>
      <c r="BL78" s="52">
        <v>5.0999999999999996</v>
      </c>
      <c r="BM78" s="52">
        <v>5.0199999999999996</v>
      </c>
      <c r="BN78" s="52">
        <v>5.03</v>
      </c>
      <c r="BO78" s="52" cm="1">
        <f t="array" aca="1" ref="BO78" ca="1">_FV(EC78,"Preço")</f>
        <v>5.03</v>
      </c>
      <c r="BP78" s="69" t="s">
        <v>75</v>
      </c>
      <c r="BQ78" s="36" cm="1">
        <f t="array" aca="1" ref="BQ78" ca="1">_FV(EC78,"Média de volume",TRUE)</f>
        <v>1406090</v>
      </c>
      <c r="BR78" s="36">
        <v>1329700</v>
      </c>
      <c r="BS78" s="36" cm="1">
        <f t="array" aca="1" ref="BS78" ca="1">_FV(EC78,"Volume")</f>
        <v>1329700</v>
      </c>
      <c r="BT78" s="24" cm="1">
        <f t="array" aca="1" ref="BT78" ca="1">_FV(EC78,"Beta")</f>
        <v>0.89049999999999996</v>
      </c>
      <c r="BU78" s="71" cm="1">
        <f t="array" aca="1" ref="BU78" ca="1">_FV(EC78,"Variação (%)",TRUE)</f>
        <v>-1.9840000000000001E-3</v>
      </c>
      <c r="BW78" s="17" cm="1">
        <f t="array" aca="1" ref="BW78" ca="1">_FV(EC78,"Baixo")</f>
        <v>5.03</v>
      </c>
      <c r="BX78" s="17" cm="1">
        <f t="array" aca="1" ref="BX78" ca="1">_FV(EC78,"Alto")</f>
        <v>5.12</v>
      </c>
      <c r="BY78" s="24"/>
      <c r="BZ78" s="63">
        <f ca="1">SQRT(22.5*(BO78/VLOOKUP(BP78,Fundamentus!A:U,3,FALSE))*(BO78/VLOOKUP(BP78,Fundamentus!A:U,4,FALSE)))</f>
        <v>8.5821794350624447</v>
      </c>
      <c r="CB78" s="62">
        <f t="shared" ca="1" si="112"/>
        <v>0</v>
      </c>
      <c r="CC78" s="8"/>
      <c r="CD78" s="61">
        <f t="shared" si="113"/>
        <v>5.01</v>
      </c>
      <c r="CE78" s="61">
        <f t="shared" si="114"/>
        <v>6.44</v>
      </c>
      <c r="CF78" s="61">
        <f t="shared" si="115"/>
        <v>5.6143939393939366</v>
      </c>
      <c r="CG78" s="14"/>
      <c r="CH78" s="35">
        <f t="shared" si="98"/>
        <v>4.5389133056588182</v>
      </c>
      <c r="CI78" s="15">
        <f t="shared" si="116"/>
        <v>4.8849999999999909</v>
      </c>
      <c r="CJ78" s="35">
        <f t="shared" si="99"/>
        <v>5.2310866943411636</v>
      </c>
      <c r="CL78" s="14"/>
      <c r="CM78" s="17">
        <f t="shared" si="100"/>
        <v>3.1166666666666654</v>
      </c>
      <c r="CN78" s="17">
        <f t="shared" si="101"/>
        <v>4.0633333333333326</v>
      </c>
      <c r="CO78" s="17">
        <f t="shared" si="102"/>
        <v>4.546666666666666</v>
      </c>
      <c r="CP78" s="38">
        <f t="shared" si="117"/>
        <v>5.4933333333333332</v>
      </c>
      <c r="CQ78" s="17">
        <f t="shared" si="103"/>
        <v>5.9766666666666666</v>
      </c>
      <c r="CR78" s="17">
        <f t="shared" si="104"/>
        <v>6.9233333333333338</v>
      </c>
      <c r="CS78" s="17">
        <f t="shared" si="105"/>
        <v>7.4066666666666672</v>
      </c>
      <c r="CT78" s="2" cm="1">
        <f t="array" aca="1" ref="CT78" ca="1">MAX(_xlfn._xlws.FILTER(CM78:CS78,CM78:CS78&lt;BO78))</f>
        <v>4.546666666666666</v>
      </c>
      <c r="CU78" s="2" cm="1">
        <f t="array" aca="1" ref="CU78" ca="1">MIN(_xlfn._xlws.FILTER($CM78:$CS78,$CM78:$CS78&gt;BO78))</f>
        <v>5.4933333333333332</v>
      </c>
      <c r="CV78" s="16">
        <f t="shared" ca="1" si="80"/>
        <v>0.20821114369501492</v>
      </c>
      <c r="CW78" s="20">
        <f t="shared" ca="1" si="81"/>
        <v>-0.10410557184750746</v>
      </c>
      <c r="CX78" s="20">
        <f t="shared" ca="1" si="82"/>
        <v>-6.9403714565004979E-2</v>
      </c>
      <c r="CY78" s="20">
        <f t="shared" ca="1" si="83"/>
        <v>-4.1642228739002987E-2</v>
      </c>
      <c r="CZ78" s="20">
        <f t="shared" ca="1" si="84"/>
        <v>-2.3134571521668326E-2</v>
      </c>
      <c r="DA78" s="20">
        <f t="shared" ca="1" si="85"/>
        <v>-1.2247714335000878E-2</v>
      </c>
      <c r="DB78" s="20">
        <f t="shared" ca="1" si="86"/>
        <v>-6.3094285968186342E-3</v>
      </c>
      <c r="DC78" s="20">
        <f t="shared" ca="1" si="87"/>
        <v>-3.203248364538691E-3</v>
      </c>
      <c r="DD78" s="21">
        <f t="shared" ca="1" si="88"/>
        <v>3.203248364538691E-3</v>
      </c>
      <c r="DE78" s="21">
        <f t="shared" ca="1" si="89"/>
        <v>6.3094285968186342E-3</v>
      </c>
      <c r="DF78" s="21">
        <f t="shared" ca="1" si="90"/>
        <v>1.2247714335000878E-2</v>
      </c>
      <c r="DG78" s="21">
        <f t="shared" ca="1" si="91"/>
        <v>2.3134571521668326E-2</v>
      </c>
      <c r="DH78" s="21">
        <f t="shared" ca="1" si="92"/>
        <v>4.1642228739002987E-2</v>
      </c>
      <c r="DI78" s="21">
        <f t="shared" ca="1" si="93"/>
        <v>6.9403714565004979E-2</v>
      </c>
      <c r="DJ78" s="21">
        <f t="shared" ca="1" si="94"/>
        <v>0.10410557184750746</v>
      </c>
      <c r="DL78" s="16" cm="1">
        <f t="array" aca="1" ref="DL78" ca="1">MAX(_xlfn._xlws.FILTER(CW78:DJ78,CW78:DJ78&lt;BU78))</f>
        <v>-3.203248364538691E-3</v>
      </c>
      <c r="DM78" s="16" cm="1">
        <f t="array" aca="1" ref="DM78" ca="1">MIN(_xlfn._xlws.FILTER(CW78:DJ78,CW78:DJ78&gt;BU78))</f>
        <v>3.203248364538691E-3</v>
      </c>
      <c r="DN78" s="2" cm="1">
        <f t="array" aca="1" ref="DN78" ca="1">_FV(EC78,"Fechamento anterior",TRUE)</f>
        <v>5.04</v>
      </c>
      <c r="DO78" s="28">
        <f t="shared" ca="1" si="106"/>
        <v>0.19029454504807972</v>
      </c>
      <c r="DP78" s="15">
        <f t="shared" ca="1" si="95"/>
        <v>5.0238556282427247</v>
      </c>
      <c r="DQ78" s="15">
        <f t="shared" ca="1" si="96"/>
        <v>5.0561443717572754</v>
      </c>
      <c r="DR78" s="9"/>
      <c r="DS78" s="9"/>
      <c r="DT78" s="9"/>
      <c r="DU78" s="89">
        <v>2.9988395735855893E-3</v>
      </c>
      <c r="DV78" s="89">
        <f t="shared" ca="1" si="107"/>
        <v>6.406496729077382E-3</v>
      </c>
      <c r="DW78" s="72">
        <f t="shared" ca="1" si="108"/>
        <v>0.4189701666400043</v>
      </c>
      <c r="DX78" s="37"/>
      <c r="DY78" s="35">
        <f t="shared" si="118"/>
        <v>0.17304334717058614</v>
      </c>
      <c r="DZ78" s="56"/>
      <c r="EA78" s="56"/>
      <c r="EC78" s="2" t="e" vm="78">
        <v>#VALUE!</v>
      </c>
      <c r="EE78" s="10" cm="1">
        <f t="array" aca="1" ref="EE78" ca="1">_FV(EC78,"Ações em circulação",TRUE)</f>
        <v>902160000</v>
      </c>
      <c r="EF78" s="18">
        <f>VLOOKUP(BP78,Fundamentus!A:U,5,FALSE)</f>
        <v>1.7509999999999999</v>
      </c>
      <c r="EG78" s="2">
        <f t="shared" ca="1" si="109"/>
        <v>2591584694.4603086</v>
      </c>
      <c r="EH78" s="17">
        <v>692471430.35979438</v>
      </c>
      <c r="EI78" s="17">
        <f t="shared" ca="1" si="110"/>
        <v>692471430.35979438</v>
      </c>
      <c r="EK78" s="16">
        <f t="shared" ca="1" si="97"/>
        <v>0</v>
      </c>
      <c r="EL78" s="32" t="str">
        <f>IF(VLOOKUP(BP78,Fundamentus!A:U,3,FALSE)&lt;15,"Bom",IF(VLOOKUP(BP78,Fundamentus!A:U,3,FALSE)&gt;15,"Ruim","n/a"))</f>
        <v>Bom</v>
      </c>
      <c r="EM78" s="28" t="str">
        <f>IF(VLOOKUP(BP78,Fundamentus!A:U,4,FALSE)&lt;1,"Baixo",IF(VLOOKUP(BP78,Fundamentus!A:U,4,FALSE)&lt;1.5,"Moderado",IF(VLOOKUP(BP78,Fundamentus!A:U,4,FALSE)&gt;1.5,"Alto","n/a")))</f>
        <v>Moderado</v>
      </c>
      <c r="EN78" s="17" t="str">
        <f>IF(VLOOKUP(BP78,Fundamentus!A:U,8,FALSE)&lt;0,"Risco elevado",IF(VLOOKUP(BP78,Fundamentus!A:U,8,FALSE)&lt;1,"Saudável",IF(VLOOKUP(BP78,Fundamentus!A:U,8,FALSE)&lt;3,"Estável",IF(VLOOKUP(BP78,Fundamentus!A:U,8,FALSE)&gt;3,"Alerta","n/a"))))</f>
        <v>Estável</v>
      </c>
      <c r="EO78" s="28" t="str">
        <f t="shared" si="111"/>
        <v>Bom</v>
      </c>
      <c r="EP78" s="17" t="str">
        <f>IF(VLOOKUP(BP78,Fundamentus!A:U,12,FALSE)&lt;2,"Subvalorizada",IF(VLOOKUP(BP78,Fundamentus!A:U,12,FALSE)&lt;6,"Muita barata",IF(VLOOKUP(BP78,Fundamentus!A:U,12,FALSE)&lt;6,"Barata",IF(VLOOKUP(BP78,Fundamentus!A:U,12,FALSE)&lt;8,"Atrativa",IF(VLOOKUP(BP78,Fundamentus!A:U,12,FALSE)&gt;8,"Supervalorizada","n/a")))))</f>
        <v>Muita barata</v>
      </c>
      <c r="ER78" s="17" t="str">
        <f>IF(VLOOKUP(BP78,Fundamentus!A:U,17,FALSE)&lt;0.1,"Fraco retorno",IF(VLOOKUP(BP78,Fundamentus!A:U,17,FALSE)&gt;0.1,"Bom retorno","n/a"))</f>
        <v>Bom retorno</v>
      </c>
      <c r="ES78" s="17" t="str">
        <f>IF(VLOOKUP(BP78,Fundamentus!A:U,16,FALSE)&lt;0.1,"Ineficiente",IF(VLOOKUP(BP78,Fundamentus!A:U,16,FALSE)&gt;0.1,"Eficiente","n/a"))</f>
        <v>Eficiente</v>
      </c>
      <c r="ET78" s="33" t="str">
        <f>IF(VLOOKUP(BP78,Fundamentus!A:U,16,FALSE)&lt;0.1,"Oper. Ineficiente",IF(VLOOKUP(BP78,Fundamentus!A:U,16,FALSE)&gt;0.1,"Oper.Eficiente","n/a"))</f>
        <v>Oper.Eficiente</v>
      </c>
      <c r="EU78" s="34">
        <f>VLOOKUP(BP78,Fundamentus!A:U,14,FALSE)</f>
        <v>0.26719999999999999</v>
      </c>
      <c r="EV78" s="17" t="str">
        <f>IF(VLOOKUP(BP78,Fundamentus!A:U,21,FALSE)&lt;0,"Negativo",IF(VLOOKUP(BP78,Fundamentus!A:U,21,FALSE)&lt;0.05,"Fraco",IF(VLOOKUP(BP78,Fundamentus!A:U,21,FALSE)&lt;0.1,"Bom",IF(VLOOKUP(BP78,Fundamentus!A:U,21,FALSE)&gt;0.1,"Muito bom","n/a"))))</f>
        <v>Bom</v>
      </c>
      <c r="EX78" s="29" t="str">
        <f>IF(VLOOKUP(BP78,Fundamentus!A:U,15,FALSE)&gt;1,"Bom",IF(VLOOKUP(BP78,Fundamentus!A:U,15,FALSE)&lt;1,"Ruim","n/a"))</f>
        <v>Bom</v>
      </c>
      <c r="EY78" s="17" t="str">
        <f>IF(VLOOKUP(BP78,Fundamentus!A:U,20,FALSE)&lt;0.5,"Baixa",IF(VLOOKUP(BP78,Fundamentus!A:U,20,FALSE)&lt;1,"Moderada",IF(VLOOKUP(BP78,Fundamentus!A:U,20,FALSE)&lt;2,"Alerta",IF(VLOOKUP(BP78,Fundamentus!A:U,20,FALSE)&gt;2,"Alta","n/a"))))</f>
        <v>Baixa</v>
      </c>
      <c r="EZ78" s="10"/>
    </row>
    <row r="79" spans="1:156" s="2" customFormat="1" ht="11.25" x14ac:dyDescent="0.2">
      <c r="A79" s="4">
        <v>9.4</v>
      </c>
      <c r="B79" s="4">
        <v>9.44</v>
      </c>
      <c r="C79" s="4">
        <v>9.99</v>
      </c>
      <c r="D79" s="4">
        <v>9.25</v>
      </c>
      <c r="E79" s="4">
        <v>9.14</v>
      </c>
      <c r="F79" s="4">
        <v>9.01</v>
      </c>
      <c r="G79" s="4">
        <v>8.57</v>
      </c>
      <c r="H79" s="4">
        <v>8.18</v>
      </c>
      <c r="I79" s="4">
        <v>8.1</v>
      </c>
      <c r="J79" s="4">
        <v>8.31</v>
      </c>
      <c r="K79" s="4">
        <v>8.5500000000000007</v>
      </c>
      <c r="L79" s="4">
        <v>8.6999999999999993</v>
      </c>
      <c r="M79" s="4">
        <v>8.5399999999999991</v>
      </c>
      <c r="N79" s="4">
        <v>8.75</v>
      </c>
      <c r="O79" s="4">
        <v>9.17</v>
      </c>
      <c r="P79" s="4">
        <v>10.37</v>
      </c>
      <c r="Q79" s="4">
        <v>10.45</v>
      </c>
      <c r="R79" s="4">
        <v>9.9</v>
      </c>
      <c r="S79" s="4">
        <v>10.72</v>
      </c>
      <c r="T79" s="4">
        <v>10.61</v>
      </c>
      <c r="U79" s="4">
        <v>10.19</v>
      </c>
      <c r="V79" s="4">
        <v>10.15</v>
      </c>
      <c r="W79" s="4">
        <v>9.76</v>
      </c>
      <c r="X79" s="4">
        <v>9.41</v>
      </c>
      <c r="Y79" s="4">
        <v>8.98</v>
      </c>
      <c r="Z79" s="4">
        <v>9</v>
      </c>
      <c r="AA79" s="4">
        <v>8.01</v>
      </c>
      <c r="AB79" s="4">
        <v>8.02</v>
      </c>
      <c r="AC79" s="4">
        <v>7.64</v>
      </c>
      <c r="AD79" s="4">
        <v>7.49</v>
      </c>
      <c r="AE79" s="4">
        <v>7.15</v>
      </c>
      <c r="AF79" s="4">
        <v>7.01</v>
      </c>
      <c r="AG79" s="4">
        <v>6.75</v>
      </c>
      <c r="AH79" s="4">
        <v>6.79</v>
      </c>
      <c r="AI79" s="4">
        <v>6.39</v>
      </c>
      <c r="AJ79" s="4">
        <v>6.18</v>
      </c>
      <c r="AK79" s="4">
        <v>6.34</v>
      </c>
      <c r="AL79" s="4">
        <v>6.64</v>
      </c>
      <c r="AM79" s="4">
        <v>6.78</v>
      </c>
      <c r="AN79" s="4">
        <v>6.9</v>
      </c>
      <c r="AO79" s="4">
        <v>6.65</v>
      </c>
      <c r="AP79" s="4">
        <v>7.43</v>
      </c>
      <c r="AQ79" s="4">
        <v>7.17</v>
      </c>
      <c r="AR79" s="4">
        <v>7.08</v>
      </c>
      <c r="AS79" s="4">
        <v>7.09</v>
      </c>
      <c r="AT79" s="4">
        <v>7.21</v>
      </c>
      <c r="AU79" s="4">
        <v>7.4499999999999993</v>
      </c>
      <c r="AV79" s="4">
        <v>7.41</v>
      </c>
      <c r="AW79" s="4">
        <v>7</v>
      </c>
      <c r="AX79" s="4">
        <v>7.25</v>
      </c>
      <c r="AY79" s="12">
        <v>7.28</v>
      </c>
      <c r="AZ79" s="12">
        <v>7.54</v>
      </c>
      <c r="BA79" s="12">
        <v>7.61</v>
      </c>
      <c r="BB79" s="15">
        <v>7.89</v>
      </c>
      <c r="BC79" s="52">
        <v>7.74</v>
      </c>
      <c r="BD79" s="52">
        <v>8.57</v>
      </c>
      <c r="BE79" s="52">
        <v>9.1</v>
      </c>
      <c r="BF79" s="52">
        <v>8.19</v>
      </c>
      <c r="BG79" s="67">
        <v>8.15</v>
      </c>
      <c r="BH79" s="52">
        <v>8.1999999999999993</v>
      </c>
      <c r="BI79" s="52">
        <v>8.07</v>
      </c>
      <c r="BJ79" s="52">
        <v>7.8</v>
      </c>
      <c r="BK79" s="52">
        <v>7.43</v>
      </c>
      <c r="BL79" s="52">
        <v>7.6</v>
      </c>
      <c r="BM79" s="52">
        <v>7.93</v>
      </c>
      <c r="BN79" s="52">
        <v>7.73</v>
      </c>
      <c r="BO79" s="52" cm="1">
        <f t="array" aca="1" ref="BO79" ca="1">_FV(EC79,"Preço")</f>
        <v>7.73</v>
      </c>
      <c r="BP79" s="69" t="s">
        <v>76</v>
      </c>
      <c r="BQ79" s="36" cm="1">
        <f t="array" aca="1" ref="BQ79" ca="1">_FV(EC79,"Média de volume",TRUE)</f>
        <v>1448490</v>
      </c>
      <c r="BR79" s="36">
        <v>824900</v>
      </c>
      <c r="BS79" s="36" cm="1">
        <f t="array" aca="1" ref="BS79" ca="1">_FV(EC79,"Volume")</f>
        <v>824900</v>
      </c>
      <c r="BT79" s="24" cm="1">
        <f t="array" aca="1" ref="BT79" ca="1">_FV(EC79,"Beta")</f>
        <v>1.5022</v>
      </c>
      <c r="BU79" s="71" cm="1">
        <f t="array" aca="1" ref="BU79" ca="1">_FV(EC79,"Variação (%)",TRUE)</f>
        <v>-7.7019999999999996E-3</v>
      </c>
      <c r="BW79" s="17" cm="1">
        <f t="array" aca="1" ref="BW79" ca="1">_FV(EC79,"Baixo")</f>
        <v>7.71</v>
      </c>
      <c r="BX79" s="17" cm="1">
        <f t="array" aca="1" ref="BX79" ca="1">_FV(EC79,"Alto")</f>
        <v>7.92</v>
      </c>
      <c r="BY79" s="24"/>
      <c r="BZ79" s="63">
        <f ca="1">SQRT(22.5*(BO79/VLOOKUP(BP79,Fundamentus!A:U,3,FALSE))*(BO79/VLOOKUP(BP79,Fundamentus!A:U,4,FALSE)))</f>
        <v>9.0072007521412178</v>
      </c>
      <c r="CB79" s="62">
        <f t="shared" ca="1" si="112"/>
        <v>0</v>
      </c>
      <c r="CC79" s="8"/>
      <c r="CD79" s="61">
        <f t="shared" si="113"/>
        <v>6.18</v>
      </c>
      <c r="CE79" s="61">
        <f t="shared" si="114"/>
        <v>10.72</v>
      </c>
      <c r="CF79" s="61">
        <f t="shared" si="115"/>
        <v>8.1712121212121165</v>
      </c>
      <c r="CG79" s="14"/>
      <c r="CH79" s="35">
        <f t="shared" si="98"/>
        <v>7.6374448949439122</v>
      </c>
      <c r="CI79" s="15">
        <f t="shared" si="116"/>
        <v>7.9800000000000182</v>
      </c>
      <c r="CJ79" s="35">
        <f t="shared" si="99"/>
        <v>8.3225551050561251</v>
      </c>
      <c r="CL79" s="14"/>
      <c r="CM79" s="17">
        <f t="shared" si="100"/>
        <v>1.1599999999999966</v>
      </c>
      <c r="CN79" s="17">
        <f t="shared" si="101"/>
        <v>3.6699999999999982</v>
      </c>
      <c r="CO79" s="17">
        <f t="shared" si="102"/>
        <v>5.6999999999999975</v>
      </c>
      <c r="CP79" s="38">
        <f t="shared" si="117"/>
        <v>8.2099999999999991</v>
      </c>
      <c r="CQ79" s="17">
        <f t="shared" si="103"/>
        <v>10.239999999999998</v>
      </c>
      <c r="CR79" s="17">
        <f t="shared" si="104"/>
        <v>12.75</v>
      </c>
      <c r="CS79" s="17">
        <f t="shared" si="105"/>
        <v>14.78</v>
      </c>
      <c r="CT79" s="2" cm="1">
        <f t="array" aca="1" ref="CT79" ca="1">MAX(_xlfn._xlws.FILTER(CM79:CS79,CM79:CS79&lt;BO79))</f>
        <v>5.6999999999999975</v>
      </c>
      <c r="CU79" s="2" cm="1">
        <f t="array" aca="1" ref="CU79" ca="1">MIN(_xlfn._xlws.FILTER($CM79:$CS79,$CM79:$CS79&gt;BO79))</f>
        <v>8.2099999999999991</v>
      </c>
      <c r="CV79" s="16">
        <f t="shared" ca="1" si="80"/>
        <v>0.44035087719298294</v>
      </c>
      <c r="CW79" s="20">
        <f t="shared" ca="1" si="81"/>
        <v>-0.22017543859649147</v>
      </c>
      <c r="CX79" s="20">
        <f t="shared" ca="1" si="82"/>
        <v>-0.14678362573099432</v>
      </c>
      <c r="CY79" s="20">
        <f t="shared" ca="1" si="83"/>
        <v>-8.807017543859659E-2</v>
      </c>
      <c r="CZ79" s="20">
        <f t="shared" ca="1" si="84"/>
        <v>-4.8927875243664772E-2</v>
      </c>
      <c r="DA79" s="20">
        <f t="shared" ca="1" si="85"/>
        <v>-2.5902992776057818E-2</v>
      </c>
      <c r="DB79" s="20">
        <f t="shared" ca="1" si="86"/>
        <v>-1.3343965975544938E-2</v>
      </c>
      <c r="DC79" s="20">
        <f t="shared" ca="1" si="87"/>
        <v>-6.7746288798920451E-3</v>
      </c>
      <c r="DD79" s="21">
        <f t="shared" ca="1" si="88"/>
        <v>6.7746288798920451E-3</v>
      </c>
      <c r="DE79" s="21">
        <f t="shared" ca="1" si="89"/>
        <v>1.3343965975544938E-2</v>
      </c>
      <c r="DF79" s="21">
        <f t="shared" ca="1" si="90"/>
        <v>2.5902992776057818E-2</v>
      </c>
      <c r="DG79" s="21">
        <f t="shared" ca="1" si="91"/>
        <v>4.8927875243664772E-2</v>
      </c>
      <c r="DH79" s="21">
        <f t="shared" ca="1" si="92"/>
        <v>8.807017543859659E-2</v>
      </c>
      <c r="DI79" s="21">
        <f t="shared" ca="1" si="93"/>
        <v>0.14678362573099432</v>
      </c>
      <c r="DJ79" s="21">
        <f t="shared" ca="1" si="94"/>
        <v>0.22017543859649147</v>
      </c>
      <c r="DL79" s="16" cm="1">
        <f t="array" aca="1" ref="DL79" ca="1">MAX(_xlfn._xlws.FILTER(CW79:DJ79,CW79:DJ79&lt;BU79))</f>
        <v>-1.3343965975544938E-2</v>
      </c>
      <c r="DM79" s="16" cm="1">
        <f t="array" aca="1" ref="DM79" ca="1">MIN(_xlfn._xlws.FILTER(CW79:DJ79,CW79:DJ79&gt;BU79))</f>
        <v>-6.7746288798920451E-3</v>
      </c>
      <c r="DN79" s="2" cm="1">
        <f t="array" aca="1" ref="DN79" ca="1">_FV(EC79,"Fechamento anterior",TRUE)</f>
        <v>7.79</v>
      </c>
      <c r="DO79" s="28">
        <f t="shared" ca="1" si="106"/>
        <v>0.85880563113400832</v>
      </c>
      <c r="DP79" s="15">
        <f t="shared" ca="1" si="95"/>
        <v>7.6860505050505052</v>
      </c>
      <c r="DQ79" s="15">
        <f t="shared" ca="1" si="96"/>
        <v>7.737225641025641</v>
      </c>
      <c r="DR79" s="9"/>
      <c r="DS79" s="9"/>
      <c r="DT79" s="9"/>
      <c r="DU79" s="89">
        <v>1.297310113853359E-2</v>
      </c>
      <c r="DV79" s="89">
        <f t="shared" ca="1" si="107"/>
        <v>6.5693370956528925E-3</v>
      </c>
      <c r="DW79" s="72">
        <f t="shared" ca="1" si="108"/>
        <v>-0.72980958774230231</v>
      </c>
      <c r="DX79" s="37"/>
      <c r="DY79" s="35">
        <f t="shared" si="118"/>
        <v>0.17127755252805318</v>
      </c>
      <c r="DZ79" s="56"/>
      <c r="EA79" s="56"/>
      <c r="EC79" s="2" t="e" vm="79">
        <v>#VALUE!</v>
      </c>
      <c r="EE79" s="10" cm="1">
        <f t="array" aca="1" ref="EE79" ca="1">_FV(EC79,"Ações em circulação",TRUE)</f>
        <v>611509500</v>
      </c>
      <c r="EF79" s="18">
        <f>VLOOKUP(BP79,Fundamentus!A:U,5,FALSE)</f>
        <v>0</v>
      </c>
      <c r="EG79" s="2" t="e">
        <f t="shared" ca="1" si="109"/>
        <v>#DIV/0!</v>
      </c>
      <c r="EH79" s="17" t="e">
        <v>#DIV/0!</v>
      </c>
      <c r="EI79" s="17" t="e">
        <f t="shared" ca="1" si="110"/>
        <v>#DIV/0!</v>
      </c>
      <c r="EK79" s="16" t="e">
        <f t="shared" ca="1" si="97"/>
        <v>#DIV/0!</v>
      </c>
      <c r="EL79" s="32" t="str">
        <f>IF(VLOOKUP(BP79,Fundamentus!A:U,3,FALSE)&lt;15,"Bom",IF(VLOOKUP(BP79,Fundamentus!A:U,3,FALSE)&gt;15,"Ruim","n/a"))</f>
        <v>Bom</v>
      </c>
      <c r="EM79" s="28" t="str">
        <f>IF(VLOOKUP(BP79,Fundamentus!A:U,4,FALSE)&lt;1,"Baixo",IF(VLOOKUP(BP79,Fundamentus!A:U,4,FALSE)&lt;1.5,"Moderado",IF(VLOOKUP(BP79,Fundamentus!A:U,4,FALSE)&gt;1.5,"Alto","n/a")))</f>
        <v>Moderado</v>
      </c>
      <c r="EN79" s="17" t="str">
        <f>IF(VLOOKUP(BP79,Fundamentus!A:U,8,FALSE)&lt;0,"Risco elevado",IF(VLOOKUP(BP79,Fundamentus!A:U,8,FALSE)&lt;1,"Saudável",IF(VLOOKUP(BP79,Fundamentus!A:U,8,FALSE)&lt;3,"Estável",IF(VLOOKUP(BP79,Fundamentus!A:U,8,FALSE)&gt;3,"Alerta","n/a"))))</f>
        <v>Saudável</v>
      </c>
      <c r="EO79" s="28" t="str">
        <f t="shared" si="111"/>
        <v>Ruim</v>
      </c>
      <c r="EP79" s="17" t="str">
        <f>IF(VLOOKUP(BP79,Fundamentus!A:U,12,FALSE)&lt;2,"Subvalorizada",IF(VLOOKUP(BP79,Fundamentus!A:U,12,FALSE)&lt;6,"Muita barata",IF(VLOOKUP(BP79,Fundamentus!A:U,12,FALSE)&lt;6,"Barata",IF(VLOOKUP(BP79,Fundamentus!A:U,12,FALSE)&lt;8,"Atrativa",IF(VLOOKUP(BP79,Fundamentus!A:U,12,FALSE)&gt;8,"Supervalorizada","n/a")))))</f>
        <v>Subvalorizada</v>
      </c>
      <c r="ER79" s="17" t="str">
        <f>IF(VLOOKUP(BP79,Fundamentus!A:U,17,FALSE)&lt;0.1,"Fraco retorno",IF(VLOOKUP(BP79,Fundamentus!A:U,17,FALSE)&gt;0.1,"Bom retorno","n/a"))</f>
        <v>Bom retorno</v>
      </c>
      <c r="ES79" s="17" t="str">
        <f>IF(VLOOKUP(BP79,Fundamentus!A:U,16,FALSE)&lt;0.1,"Ineficiente",IF(VLOOKUP(BP79,Fundamentus!A:U,16,FALSE)&gt;0.1,"Eficiente","n/a"))</f>
        <v>Ineficiente</v>
      </c>
      <c r="ET79" s="33" t="str">
        <f>IF(VLOOKUP(BP79,Fundamentus!A:U,16,FALSE)&lt;0.1,"Oper. Ineficiente",IF(VLOOKUP(BP79,Fundamentus!A:U,16,FALSE)&gt;0.1,"Oper.Eficiente","n/a"))</f>
        <v>Oper. Ineficiente</v>
      </c>
      <c r="EU79" s="34">
        <f>VLOOKUP(BP79,Fundamentus!A:U,14,FALSE)</f>
        <v>0</v>
      </c>
      <c r="EV79" s="17" t="str">
        <f>IF(VLOOKUP(BP79,Fundamentus!A:U,21,FALSE)&lt;0,"Negativo",IF(VLOOKUP(BP79,Fundamentus!A:U,21,FALSE)&lt;0.05,"Fraco",IF(VLOOKUP(BP79,Fundamentus!A:U,21,FALSE)&lt;0.1,"Bom",IF(VLOOKUP(BP79,Fundamentus!A:U,21,FALSE)&gt;0.1,"Muito bom","n/a"))))</f>
        <v>Fraco</v>
      </c>
      <c r="EX79" s="29" t="str">
        <f>IF(VLOOKUP(BP79,Fundamentus!A:U,15,FALSE)&gt;1,"Bom",IF(VLOOKUP(BP79,Fundamentus!A:U,15,FALSE)&lt;1,"Ruim","n/a"))</f>
        <v>Ruim</v>
      </c>
      <c r="EY79" s="17" t="str">
        <f>IF(VLOOKUP(BP79,Fundamentus!A:U,20,FALSE)&lt;0.5,"Baixa",IF(VLOOKUP(BP79,Fundamentus!A:U,20,FALSE)&lt;1,"Moderada",IF(VLOOKUP(BP79,Fundamentus!A:U,20,FALSE)&lt;2,"Alerta",IF(VLOOKUP(BP79,Fundamentus!A:U,20,FALSE)&gt;2,"Alta","n/a"))))</f>
        <v>Baixa</v>
      </c>
      <c r="EZ79" s="10"/>
    </row>
    <row r="80" spans="1:156" s="2" customFormat="1" ht="11.25" x14ac:dyDescent="0.2">
      <c r="A80" s="4">
        <v>38.770000000000003</v>
      </c>
      <c r="B80" s="4">
        <v>38.9</v>
      </c>
      <c r="C80" s="4">
        <v>39.64</v>
      </c>
      <c r="D80" s="4">
        <v>38.340000000000003</v>
      </c>
      <c r="E80" s="4">
        <v>37.75</v>
      </c>
      <c r="F80" s="4">
        <v>37.85</v>
      </c>
      <c r="G80" s="4">
        <v>38.770000000000003</v>
      </c>
      <c r="H80" s="4">
        <v>41.08</v>
      </c>
      <c r="I80" s="4">
        <v>42</v>
      </c>
      <c r="J80" s="4">
        <v>42.19</v>
      </c>
      <c r="K80" s="4">
        <v>45.88</v>
      </c>
      <c r="L80" s="4">
        <v>47.29</v>
      </c>
      <c r="M80" s="4">
        <v>46.92</v>
      </c>
      <c r="N80" s="4">
        <v>49.82</v>
      </c>
      <c r="O80" s="4">
        <v>49.7</v>
      </c>
      <c r="P80" s="4">
        <v>53.36</v>
      </c>
      <c r="Q80" s="4">
        <v>53.81</v>
      </c>
      <c r="R80" s="4">
        <v>54.15</v>
      </c>
      <c r="S80" s="4">
        <v>52.88</v>
      </c>
      <c r="T80" s="4">
        <v>53.62</v>
      </c>
      <c r="U80" s="4">
        <v>52.52</v>
      </c>
      <c r="V80" s="4">
        <v>56.03</v>
      </c>
      <c r="W80" s="4">
        <v>54.5</v>
      </c>
      <c r="X80" s="4">
        <v>54.17</v>
      </c>
      <c r="Y80" s="4">
        <v>54.87</v>
      </c>
      <c r="Z80" s="4">
        <v>55.47</v>
      </c>
      <c r="AA80" s="4">
        <v>54.7</v>
      </c>
      <c r="AB80" s="4">
        <v>55.09</v>
      </c>
      <c r="AC80" s="4">
        <v>54.35</v>
      </c>
      <c r="AD80" s="4">
        <v>54.01</v>
      </c>
      <c r="AE80" s="4">
        <v>53.94</v>
      </c>
      <c r="AF80" s="4">
        <v>55.6</v>
      </c>
      <c r="AG80" s="4">
        <v>57.66</v>
      </c>
      <c r="AH80" s="4">
        <v>54.24</v>
      </c>
      <c r="AI80" s="4">
        <v>53.68</v>
      </c>
      <c r="AJ80" s="4">
        <v>52.46</v>
      </c>
      <c r="AK80" s="4">
        <v>53.35</v>
      </c>
      <c r="AL80" s="4">
        <v>54.17</v>
      </c>
      <c r="AM80" s="4">
        <v>57.87</v>
      </c>
      <c r="AN80" s="4">
        <v>55.04</v>
      </c>
      <c r="AO80" s="4">
        <v>53.94</v>
      </c>
      <c r="AP80" s="4">
        <v>53.8</v>
      </c>
      <c r="AQ80" s="4">
        <v>52.95</v>
      </c>
      <c r="AR80" s="4">
        <v>48.42</v>
      </c>
      <c r="AS80" s="4">
        <v>47.89</v>
      </c>
      <c r="AT80" s="4">
        <v>46.74</v>
      </c>
      <c r="AU80" s="4">
        <v>47.674999999999997</v>
      </c>
      <c r="AV80" s="4">
        <v>45.85</v>
      </c>
      <c r="AW80" s="4">
        <v>43.72</v>
      </c>
      <c r="AX80" s="4">
        <v>45.12</v>
      </c>
      <c r="AY80" s="12">
        <v>45.95</v>
      </c>
      <c r="AZ80" s="12">
        <v>49.89</v>
      </c>
      <c r="BA80" s="12">
        <v>44.64</v>
      </c>
      <c r="BB80" s="15">
        <v>42.21</v>
      </c>
      <c r="BC80" s="52">
        <v>44.17</v>
      </c>
      <c r="BD80" s="52">
        <v>43.69</v>
      </c>
      <c r="BE80" s="52">
        <v>42.35</v>
      </c>
      <c r="BF80" s="52">
        <v>42.57</v>
      </c>
      <c r="BG80" s="67">
        <v>42.39</v>
      </c>
      <c r="BH80" s="52">
        <v>41.64</v>
      </c>
      <c r="BI80" s="52">
        <v>42.35</v>
      </c>
      <c r="BJ80" s="52">
        <v>43</v>
      </c>
      <c r="BK80" s="52">
        <v>39.450000000000003</v>
      </c>
      <c r="BL80" s="52">
        <v>42.37</v>
      </c>
      <c r="BM80" s="52">
        <v>36.17</v>
      </c>
      <c r="BN80" s="52">
        <v>37.18</v>
      </c>
      <c r="BO80" s="52" cm="1">
        <f t="array" aca="1" ref="BO80" ca="1">_FV(EC80,"Preço")</f>
        <v>37.18</v>
      </c>
      <c r="BP80" s="69" t="s">
        <v>77</v>
      </c>
      <c r="BQ80" s="36" cm="1">
        <f t="array" aca="1" ref="BQ80" ca="1">_FV(EC80,"Média de volume",TRUE)</f>
        <v>17219080</v>
      </c>
      <c r="BR80" s="36">
        <v>16111100</v>
      </c>
      <c r="BS80" s="36" cm="1">
        <f t="array" aca="1" ref="BS80" ca="1">_FV(EC80,"Volume")</f>
        <v>16111100</v>
      </c>
      <c r="BT80" s="24" cm="1">
        <f t="array" aca="1" ref="BT80" ca="1">_FV(EC80,"Beta")</f>
        <v>0.3483</v>
      </c>
      <c r="BU80" s="71" cm="1">
        <f t="array" aca="1" ref="BU80" ca="1">_FV(EC80,"Variação (%)",TRUE)</f>
        <v>1.8859999999999999E-3</v>
      </c>
      <c r="BW80" s="17" cm="1">
        <f t="array" aca="1" ref="BW80" ca="1">_FV(EC80,"Baixo")</f>
        <v>36.340000000000003</v>
      </c>
      <c r="BX80" s="17" cm="1">
        <f t="array" aca="1" ref="BX80" ca="1">_FV(EC80,"Alto")</f>
        <v>37.32</v>
      </c>
      <c r="BY80" s="24"/>
      <c r="BZ80" s="63">
        <f ca="1">SQRT(22.5*(BO80/VLOOKUP(BP80,Fundamentus!A:U,3,FALSE))*(BO80/VLOOKUP(BP80,Fundamentus!A:U,4,FALSE)))</f>
        <v>13.192465711166923</v>
      </c>
      <c r="CB80" s="62">
        <f t="shared" ca="1" si="112"/>
        <v>0</v>
      </c>
      <c r="CC80" s="8"/>
      <c r="CD80" s="61">
        <f t="shared" si="113"/>
        <v>36.17</v>
      </c>
      <c r="CE80" s="61">
        <f t="shared" si="114"/>
        <v>57.87</v>
      </c>
      <c r="CF80" s="61">
        <f t="shared" si="115"/>
        <v>47.917651515151491</v>
      </c>
      <c r="CG80" s="14"/>
      <c r="CH80" s="35">
        <f t="shared" si="98"/>
        <v>30.108910238267967</v>
      </c>
      <c r="CI80" s="15">
        <f t="shared" si="116"/>
        <v>35.540000000000873</v>
      </c>
      <c r="CJ80" s="35">
        <f t="shared" si="99"/>
        <v>40.971089761733779</v>
      </c>
      <c r="CL80" s="14"/>
      <c r="CM80" s="17">
        <f t="shared" si="100"/>
        <v>7.9100000000000108</v>
      </c>
      <c r="CN80" s="17">
        <f t="shared" si="101"/>
        <v>22.040000000000006</v>
      </c>
      <c r="CO80" s="17">
        <f t="shared" si="102"/>
        <v>29.610000000000007</v>
      </c>
      <c r="CP80" s="38">
        <f t="shared" si="117"/>
        <v>43.74</v>
      </c>
      <c r="CQ80" s="17">
        <f t="shared" si="103"/>
        <v>51.31</v>
      </c>
      <c r="CR80" s="17">
        <f t="shared" si="104"/>
        <v>65.44</v>
      </c>
      <c r="CS80" s="17">
        <f t="shared" si="105"/>
        <v>73.009999999999991</v>
      </c>
      <c r="CT80" s="2" cm="1">
        <f t="array" aca="1" ref="CT80" ca="1">MAX(_xlfn._xlws.FILTER(CM80:CS80,CM80:CS80&lt;BO80))</f>
        <v>29.610000000000007</v>
      </c>
      <c r="CU80" s="2" cm="1">
        <f t="array" aca="1" ref="CU80" ca="1">MIN(_xlfn._xlws.FILTER($CM80:$CS80,$CM80:$CS80&gt;BO80))</f>
        <v>43.74</v>
      </c>
      <c r="CV80" s="16">
        <f t="shared" ca="1" si="80"/>
        <v>0.47720364741641319</v>
      </c>
      <c r="CW80" s="20">
        <f t="shared" ca="1" si="81"/>
        <v>-0.2386018237082066</v>
      </c>
      <c r="CX80" s="20">
        <f t="shared" ca="1" si="82"/>
        <v>-0.15906788247213774</v>
      </c>
      <c r="CY80" s="20">
        <f t="shared" ca="1" si="83"/>
        <v>-9.5440729483282638E-2</v>
      </c>
      <c r="CZ80" s="20">
        <f t="shared" ca="1" si="84"/>
        <v>-5.3022627490712577E-2</v>
      </c>
      <c r="DA80" s="20">
        <f t="shared" ca="1" si="85"/>
        <v>-2.8070802789200777E-2</v>
      </c>
      <c r="DB80" s="20">
        <f t="shared" ca="1" si="86"/>
        <v>-1.4460716588376157E-2</v>
      </c>
      <c r="DC80" s="20">
        <f t="shared" ca="1" si="87"/>
        <v>-7.3415945756371264E-3</v>
      </c>
      <c r="DD80" s="21">
        <f t="shared" ca="1" si="88"/>
        <v>7.3415945756371264E-3</v>
      </c>
      <c r="DE80" s="21">
        <f t="shared" ca="1" si="89"/>
        <v>1.4460716588376157E-2</v>
      </c>
      <c r="DF80" s="21">
        <f t="shared" ca="1" si="90"/>
        <v>2.8070802789200777E-2</v>
      </c>
      <c r="DG80" s="21">
        <f t="shared" ca="1" si="91"/>
        <v>5.3022627490712577E-2</v>
      </c>
      <c r="DH80" s="21">
        <f t="shared" ca="1" si="92"/>
        <v>9.5440729483282638E-2</v>
      </c>
      <c r="DI80" s="21">
        <f t="shared" ca="1" si="93"/>
        <v>0.15906788247213774</v>
      </c>
      <c r="DJ80" s="21">
        <f t="shared" ca="1" si="94"/>
        <v>0.2386018237082066</v>
      </c>
      <c r="DL80" s="16" cm="1">
        <f t="array" aca="1" ref="DL80" ca="1">MAX(_xlfn._xlws.FILTER(CW80:DJ80,CW80:DJ80&lt;BU80))</f>
        <v>-7.3415945756371264E-3</v>
      </c>
      <c r="DM80" s="16" cm="1">
        <f t="array" aca="1" ref="DM80" ca="1">MIN(_xlfn._xlws.FILTER(CW80:DJ80,CW80:DJ80&gt;BU80))</f>
        <v>7.3415945756371264E-3</v>
      </c>
      <c r="DN80" s="2" cm="1">
        <f t="array" aca="1" ref="DN80" ca="1">_FV(EC80,"Fechamento anterior",TRUE)</f>
        <v>37.11</v>
      </c>
      <c r="DO80" s="28">
        <f t="shared" ca="1" si="106"/>
        <v>0.62846555343298527</v>
      </c>
      <c r="DP80" s="15">
        <f t="shared" ca="1" si="95"/>
        <v>36.837553425298104</v>
      </c>
      <c r="DQ80" s="15">
        <f t="shared" ca="1" si="96"/>
        <v>37.382446574701895</v>
      </c>
      <c r="DR80" s="9"/>
      <c r="DS80" s="9"/>
      <c r="DT80" s="9"/>
      <c r="DU80" s="89">
        <v>1.1537298504338116E-2</v>
      </c>
      <c r="DV80" s="89">
        <f t="shared" ca="1" si="107"/>
        <v>1.4683189151274253E-2</v>
      </c>
      <c r="DW80" s="72">
        <f t="shared" ca="1" si="108"/>
        <v>0.30196518046055076</v>
      </c>
      <c r="DX80" s="37"/>
      <c r="DY80" s="35">
        <f t="shared" si="118"/>
        <v>2.7155448808664522</v>
      </c>
      <c r="DZ80" s="56"/>
      <c r="EA80" s="56"/>
      <c r="EC80" s="2" t="e" vm="80">
        <v>#VALUE!</v>
      </c>
      <c r="EE80" s="10" cm="1">
        <f t="array" aca="1" ref="EE80" ca="1">_FV(EC80,"Ações em circulação",TRUE)</f>
        <v>4197318000</v>
      </c>
      <c r="EF80" s="18">
        <f>VLOOKUP(BP80,Fundamentus!A:U,5,FALSE)</f>
        <v>3.895</v>
      </c>
      <c r="EG80" s="2">
        <f t="shared" ca="1" si="109"/>
        <v>40065798007.702179</v>
      </c>
      <c r="EH80" s="17">
        <v>6610856671.2708597</v>
      </c>
      <c r="EI80" s="17">
        <f t="shared" ca="1" si="110"/>
        <v>6610856671.2708597</v>
      </c>
      <c r="EK80" s="16">
        <f t="shared" ca="1" si="97"/>
        <v>0</v>
      </c>
      <c r="EL80" s="32" t="str">
        <f>IF(VLOOKUP(BP80,Fundamentus!A:U,3,FALSE)&lt;15,"Bom",IF(VLOOKUP(BP80,Fundamentus!A:U,3,FALSE)&gt;15,"Ruim","n/a"))</f>
        <v>Ruim</v>
      </c>
      <c r="EM80" s="28" t="str">
        <f>IF(VLOOKUP(BP80,Fundamentus!A:U,4,FALSE)&lt;1,"Baixo",IF(VLOOKUP(BP80,Fundamentus!A:U,4,FALSE)&lt;1.5,"Moderado",IF(VLOOKUP(BP80,Fundamentus!A:U,4,FALSE)&gt;1.5,"Alto","n/a")))</f>
        <v>Alto</v>
      </c>
      <c r="EN80" s="17" t="str">
        <f>IF(VLOOKUP(BP80,Fundamentus!A:U,8,FALSE)&lt;0,"Risco elevado",IF(VLOOKUP(BP80,Fundamentus!A:U,8,FALSE)&lt;1,"Saudável",IF(VLOOKUP(BP80,Fundamentus!A:U,8,FALSE)&lt;3,"Estável",IF(VLOOKUP(BP80,Fundamentus!A:U,8,FALSE)&gt;3,"Alerta","n/a"))))</f>
        <v>Alerta</v>
      </c>
      <c r="EO80" s="28" t="str">
        <f t="shared" si="111"/>
        <v>Bom</v>
      </c>
      <c r="EP80" s="17" t="str">
        <f>IF(VLOOKUP(BP80,Fundamentus!A:U,12,FALSE)&lt;2,"Subvalorizada",IF(VLOOKUP(BP80,Fundamentus!A:U,12,FALSE)&lt;6,"Muita barata",IF(VLOOKUP(BP80,Fundamentus!A:U,12,FALSE)&lt;6,"Barata",IF(VLOOKUP(BP80,Fundamentus!A:U,12,FALSE)&lt;8,"Atrativa",IF(VLOOKUP(BP80,Fundamentus!A:U,12,FALSE)&gt;8,"Supervalorizada","n/a")))))</f>
        <v>Supervalorizada</v>
      </c>
      <c r="ER80" s="17" t="str">
        <f>IF(VLOOKUP(BP80,Fundamentus!A:U,17,FALSE)&lt;0.1,"Fraco retorno",IF(VLOOKUP(BP80,Fundamentus!A:U,17,FALSE)&gt;0.1,"Bom retorno","n/a"))</f>
        <v>Bom retorno</v>
      </c>
      <c r="ES80" s="17" t="str">
        <f>IF(VLOOKUP(BP80,Fundamentus!A:U,16,FALSE)&lt;0.1,"Ineficiente",IF(VLOOKUP(BP80,Fundamentus!A:U,16,FALSE)&gt;0.1,"Eficiente","n/a"))</f>
        <v>Eficiente</v>
      </c>
      <c r="ET80" s="33" t="str">
        <f>IF(VLOOKUP(BP80,Fundamentus!A:U,16,FALSE)&lt;0.1,"Oper. Ineficiente",IF(VLOOKUP(BP80,Fundamentus!A:U,16,FALSE)&gt;0.1,"Oper.Eficiente","n/a"))</f>
        <v>Oper.Eficiente</v>
      </c>
      <c r="EU80" s="34">
        <f>VLOOKUP(BP80,Fundamentus!A:U,14,FALSE)</f>
        <v>0.16500000000000001</v>
      </c>
      <c r="EV80" s="17" t="str">
        <f>IF(VLOOKUP(BP80,Fundamentus!A:U,21,FALSE)&lt;0,"Negativo",IF(VLOOKUP(BP80,Fundamentus!A:U,21,FALSE)&lt;0.05,"Fraco",IF(VLOOKUP(BP80,Fundamentus!A:U,21,FALSE)&lt;0.1,"Bom",IF(VLOOKUP(BP80,Fundamentus!A:U,21,FALSE)&gt;0.1,"Muito bom","n/a"))))</f>
        <v>Muito bom</v>
      </c>
      <c r="EX80" s="29" t="str">
        <f>IF(VLOOKUP(BP80,Fundamentus!A:U,15,FALSE)&gt;1,"Bom",IF(VLOOKUP(BP80,Fundamentus!A:U,15,FALSE)&lt;1,"Ruim","n/a"))</f>
        <v>Bom</v>
      </c>
      <c r="EY80" s="17" t="str">
        <f>IF(VLOOKUP(BP80,Fundamentus!A:U,20,FALSE)&lt;0.5,"Baixa",IF(VLOOKUP(BP80,Fundamentus!A:U,20,FALSE)&lt;1,"Moderada",IF(VLOOKUP(BP80,Fundamentus!A:U,20,FALSE)&lt;2,"Alerta",IF(VLOOKUP(BP80,Fundamentus!A:U,20,FALSE)&gt;2,"Alta","n/a"))))</f>
        <v>Baixa</v>
      </c>
      <c r="EZ80" s="10"/>
    </row>
    <row r="81" spans="1:156" s="2" customFormat="1" ht="11.25" x14ac:dyDescent="0.2">
      <c r="A81" s="4">
        <v>42.64</v>
      </c>
      <c r="B81" s="4">
        <v>43.77</v>
      </c>
      <c r="C81" s="4">
        <v>43.58</v>
      </c>
      <c r="D81" s="4">
        <v>43.61</v>
      </c>
      <c r="E81" s="4">
        <v>43.37</v>
      </c>
      <c r="F81" s="4">
        <v>43.48</v>
      </c>
      <c r="G81" s="4">
        <v>44.16</v>
      </c>
      <c r="H81" s="4">
        <v>44.12</v>
      </c>
      <c r="I81" s="4">
        <v>44.18</v>
      </c>
      <c r="J81" s="4">
        <v>45.25</v>
      </c>
      <c r="K81" s="4">
        <v>46.61</v>
      </c>
      <c r="L81" s="4">
        <v>45.6</v>
      </c>
      <c r="M81" s="4">
        <v>44.55</v>
      </c>
      <c r="N81" s="4">
        <v>44.11</v>
      </c>
      <c r="O81" s="4">
        <v>45.68</v>
      </c>
      <c r="P81" s="4">
        <v>46.19</v>
      </c>
      <c r="Q81" s="4">
        <v>45.8</v>
      </c>
      <c r="R81" s="4">
        <v>45.16</v>
      </c>
      <c r="S81" s="4">
        <v>44.98</v>
      </c>
      <c r="T81" s="4">
        <v>44.12</v>
      </c>
      <c r="U81" s="4">
        <v>43.71</v>
      </c>
      <c r="V81" s="4">
        <v>42.92</v>
      </c>
      <c r="W81" s="4">
        <v>41.94</v>
      </c>
      <c r="X81" s="4">
        <v>40.590000000000003</v>
      </c>
      <c r="Y81" s="4">
        <v>40.82</v>
      </c>
      <c r="Z81" s="4">
        <v>40.799999999999997</v>
      </c>
      <c r="AA81" s="4">
        <v>41.11</v>
      </c>
      <c r="AB81" s="4">
        <v>40.270000000000003</v>
      </c>
      <c r="AC81" s="4">
        <v>39.42</v>
      </c>
      <c r="AD81" s="4">
        <v>38.590000000000003</v>
      </c>
      <c r="AE81" s="4">
        <v>37.799999999999997</v>
      </c>
      <c r="AF81" s="4">
        <v>38</v>
      </c>
      <c r="AG81" s="4">
        <v>37.07</v>
      </c>
      <c r="AH81" s="4">
        <v>35.619999999999997</v>
      </c>
      <c r="AI81" s="4">
        <v>34.950000000000003</v>
      </c>
      <c r="AJ81" s="4">
        <v>35.31</v>
      </c>
      <c r="AK81" s="4">
        <v>34.96</v>
      </c>
      <c r="AL81" s="4">
        <v>35.200000000000003</v>
      </c>
      <c r="AM81" s="4">
        <v>35.17</v>
      </c>
      <c r="AN81" s="4">
        <v>36.799999999999997</v>
      </c>
      <c r="AO81" s="4">
        <v>35.950000000000003</v>
      </c>
      <c r="AP81" s="4">
        <v>36.58</v>
      </c>
      <c r="AQ81" s="4">
        <v>36.58</v>
      </c>
      <c r="AR81" s="4">
        <v>37.17</v>
      </c>
      <c r="AS81" s="4">
        <v>37.770000000000003</v>
      </c>
      <c r="AT81" s="4">
        <v>37.770000000000003</v>
      </c>
      <c r="AU81" s="4">
        <v>39.305</v>
      </c>
      <c r="AV81" s="4">
        <v>39.07</v>
      </c>
      <c r="AW81" s="4">
        <v>39.64</v>
      </c>
      <c r="AX81" s="4">
        <v>39.65</v>
      </c>
      <c r="AY81" s="12">
        <v>39.29</v>
      </c>
      <c r="AZ81" s="12">
        <v>40.26</v>
      </c>
      <c r="BA81" s="12">
        <v>41.57</v>
      </c>
      <c r="BB81" s="15">
        <v>39.82</v>
      </c>
      <c r="BC81" s="52">
        <v>40.74</v>
      </c>
      <c r="BD81" s="52">
        <v>40.450000000000003</v>
      </c>
      <c r="BE81" s="52">
        <v>41.06</v>
      </c>
      <c r="BF81" s="52">
        <v>40.6</v>
      </c>
      <c r="BG81" s="67">
        <v>40.46</v>
      </c>
      <c r="BH81" s="52">
        <v>40.049999999999997</v>
      </c>
      <c r="BI81" s="52">
        <v>45.03</v>
      </c>
      <c r="BJ81" s="52">
        <v>46.3</v>
      </c>
      <c r="BK81" s="52">
        <v>41.6</v>
      </c>
      <c r="BL81" s="52">
        <v>41.71</v>
      </c>
      <c r="BM81" s="52">
        <v>42.15</v>
      </c>
      <c r="BN81" s="52">
        <v>40.200000000000003</v>
      </c>
      <c r="BO81" s="52" cm="1">
        <f t="array" aca="1" ref="BO81" ca="1">_FV(EC81,"Preço")</f>
        <v>40.200000000000003</v>
      </c>
      <c r="BP81" s="69" t="s">
        <v>78</v>
      </c>
      <c r="BQ81" s="36" cm="1">
        <f t="array" aca="1" ref="BQ81" ca="1">_FV(EC81,"Média de volume",TRUE)</f>
        <v>957640</v>
      </c>
      <c r="BR81" s="36">
        <v>957800</v>
      </c>
      <c r="BS81" s="36" cm="1">
        <f t="array" aca="1" ref="BS81" ca="1">_FV(EC81,"Volume")</f>
        <v>957800</v>
      </c>
      <c r="BT81" s="24" cm="1">
        <f t="array" aca="1" ref="BT81" ca="1">_FV(EC81,"Beta")</f>
        <v>0.58340000000000003</v>
      </c>
      <c r="BU81" s="71" cm="1">
        <f t="array" aca="1" ref="BU81" ca="1">_FV(EC81,"Variação (%)",TRUE)</f>
        <v>6.7620000000000006E-3</v>
      </c>
      <c r="BW81" s="17" cm="1">
        <f t="array" aca="1" ref="BW81" ca="1">_FV(EC81,"Baixo")</f>
        <v>39.64</v>
      </c>
      <c r="BX81" s="17" cm="1">
        <f t="array" aca="1" ref="BX81" ca="1">_FV(EC81,"Alto")</f>
        <v>40.54</v>
      </c>
      <c r="BY81" s="24"/>
      <c r="BZ81" s="63">
        <f ca="1">SQRT(22.5*(BO81/VLOOKUP(BP81,Fundamentus!A:U,3,FALSE))*(BO81/VLOOKUP(BP81,Fundamentus!A:U,4,FALSE)))</f>
        <v>35.037774653969883</v>
      </c>
      <c r="CB81" s="62">
        <f t="shared" ca="1" si="112"/>
        <v>0</v>
      </c>
      <c r="CC81" s="8"/>
      <c r="CD81" s="61">
        <f t="shared" si="113"/>
        <v>34.950000000000003</v>
      </c>
      <c r="CE81" s="61">
        <f t="shared" si="114"/>
        <v>46.61</v>
      </c>
      <c r="CF81" s="61">
        <f t="shared" si="115"/>
        <v>40.951287878787873</v>
      </c>
      <c r="CG81" s="14"/>
      <c r="CH81" s="35">
        <f t="shared" si="98"/>
        <v>36.35400206260659</v>
      </c>
      <c r="CI81" s="15">
        <f t="shared" si="116"/>
        <v>40.474999999999909</v>
      </c>
      <c r="CJ81" s="35">
        <f t="shared" si="99"/>
        <v>44.595997937393228</v>
      </c>
      <c r="CL81" s="14"/>
      <c r="CM81" s="17">
        <f t="shared" si="100"/>
        <v>22.903333333333336</v>
      </c>
      <c r="CN81" s="17">
        <f t="shared" si="101"/>
        <v>28.926666666666669</v>
      </c>
      <c r="CO81" s="17">
        <f t="shared" si="102"/>
        <v>34.563333333333333</v>
      </c>
      <c r="CP81" s="38">
        <f t="shared" si="117"/>
        <v>40.586666666666666</v>
      </c>
      <c r="CQ81" s="17">
        <f t="shared" si="103"/>
        <v>46.223333333333329</v>
      </c>
      <c r="CR81" s="17">
        <f t="shared" si="104"/>
        <v>52.246666666666663</v>
      </c>
      <c r="CS81" s="17">
        <f t="shared" si="105"/>
        <v>57.883333333333326</v>
      </c>
      <c r="CT81" s="2" cm="1">
        <f t="array" aca="1" ref="CT81" ca="1">MAX(_xlfn._xlws.FILTER(CM81:CS81,CM81:CS81&lt;BO81))</f>
        <v>34.563333333333333</v>
      </c>
      <c r="CU81" s="2" cm="1">
        <f t="array" aca="1" ref="CU81" ca="1">MIN(_xlfn._xlws.FILTER($CM81:$CS81,$CM81:$CS81&gt;BO81))</f>
        <v>40.586666666666666</v>
      </c>
      <c r="CV81" s="16">
        <f t="shared" ca="1" si="80"/>
        <v>0.17426945703539398</v>
      </c>
      <c r="CW81" s="20">
        <f t="shared" ca="1" si="81"/>
        <v>-8.7134728517696991E-2</v>
      </c>
      <c r="CX81" s="20">
        <f t="shared" ca="1" si="82"/>
        <v>-5.8089819011797994E-2</v>
      </c>
      <c r="CY81" s="20">
        <f t="shared" ca="1" si="83"/>
        <v>-3.4853891407078799E-2</v>
      </c>
      <c r="CZ81" s="20">
        <f t="shared" ca="1" si="84"/>
        <v>-1.9363273003932664E-2</v>
      </c>
      <c r="DA81" s="20">
        <f t="shared" ca="1" si="85"/>
        <v>-1.0251144531493764E-2</v>
      </c>
      <c r="DB81" s="20">
        <f t="shared" ca="1" si="86"/>
        <v>-5.2808926374361817E-3</v>
      </c>
      <c r="DC81" s="20">
        <f t="shared" ca="1" si="87"/>
        <v>-2.681068569775292E-3</v>
      </c>
      <c r="DD81" s="21">
        <f t="shared" ca="1" si="88"/>
        <v>2.681068569775292E-3</v>
      </c>
      <c r="DE81" s="21">
        <f t="shared" ca="1" si="89"/>
        <v>5.2808926374361817E-3</v>
      </c>
      <c r="DF81" s="21">
        <f t="shared" ca="1" si="90"/>
        <v>1.0251144531493764E-2</v>
      </c>
      <c r="DG81" s="21">
        <f t="shared" ca="1" si="91"/>
        <v>1.9363273003932664E-2</v>
      </c>
      <c r="DH81" s="21">
        <f t="shared" ca="1" si="92"/>
        <v>3.4853891407078799E-2</v>
      </c>
      <c r="DI81" s="21">
        <f t="shared" ca="1" si="93"/>
        <v>5.8089819011797994E-2</v>
      </c>
      <c r="DJ81" s="21">
        <f t="shared" ca="1" si="94"/>
        <v>8.7134728517696991E-2</v>
      </c>
      <c r="DL81" s="16" cm="1">
        <f t="array" aca="1" ref="DL81" ca="1">MAX(_xlfn._xlws.FILTER(CW81:DJ81,CW81:DJ81&lt;BU81))</f>
        <v>5.2808926374361817E-3</v>
      </c>
      <c r="DM81" s="16" cm="1">
        <f t="array" aca="1" ref="DM81" ca="1">MIN(_xlfn._xlws.FILTER(CW81:DJ81,CW81:DJ81&gt;BU81))</f>
        <v>1.0251144531493764E-2</v>
      </c>
      <c r="DN81" s="2" cm="1">
        <f t="array" aca="1" ref="DN81" ca="1">_FV(EC81,"Fechamento anterior",TRUE)</f>
        <v>39.93</v>
      </c>
      <c r="DO81" s="28">
        <f t="shared" ca="1" si="106"/>
        <v>0.29796086843177938</v>
      </c>
      <c r="DP81" s="15">
        <f t="shared" ca="1" si="95"/>
        <v>40.140866043012828</v>
      </c>
      <c r="DQ81" s="15">
        <f t="shared" ca="1" si="96"/>
        <v>40.339328201142543</v>
      </c>
      <c r="DR81" s="9"/>
      <c r="DS81" s="9"/>
      <c r="DT81" s="9"/>
      <c r="DU81" s="89">
        <v>7.8132331865170823E-3</v>
      </c>
      <c r="DV81" s="89">
        <f t="shared" ca="1" si="107"/>
        <v>4.9702518940575825E-3</v>
      </c>
      <c r="DW81" s="72">
        <f t="shared" ca="1" si="108"/>
        <v>-6.6731409279436257E-2</v>
      </c>
      <c r="DX81" s="37"/>
      <c r="DY81" s="35">
        <f t="shared" si="118"/>
        <v>2.0604989686966584</v>
      </c>
      <c r="DZ81" s="56"/>
      <c r="EA81" s="56"/>
      <c r="EC81" s="2" t="e" vm="81">
        <v>#VALUE!</v>
      </c>
      <c r="EE81" s="10" cm="1">
        <f t="array" aca="1" ref="EE81" ca="1">_FV(EC81,"Ações em circulação",TRUE)</f>
        <v>815927700</v>
      </c>
      <c r="EF81" s="18">
        <f>VLOOKUP(BP81,Fundamentus!A:U,5,FALSE)</f>
        <v>2.9860000000000002</v>
      </c>
      <c r="EG81" s="2">
        <f t="shared" ca="1" si="109"/>
        <v>10984693081.044876</v>
      </c>
      <c r="EH81" s="17">
        <v>3255863029.2217011</v>
      </c>
      <c r="EI81" s="17">
        <f t="shared" ca="1" si="110"/>
        <v>3255863029.2217011</v>
      </c>
      <c r="EK81" s="16">
        <f t="shared" ca="1" si="97"/>
        <v>0</v>
      </c>
      <c r="EL81" s="32" t="str">
        <f>IF(VLOOKUP(BP81,Fundamentus!A:U,3,FALSE)&lt;15,"Bom",IF(VLOOKUP(BP81,Fundamentus!A:U,3,FALSE)&gt;15,"Ruim","n/a"))</f>
        <v>Bom</v>
      </c>
      <c r="EM81" s="28" t="str">
        <f>IF(VLOOKUP(BP81,Fundamentus!A:U,4,FALSE)&lt;1,"Baixo",IF(VLOOKUP(BP81,Fundamentus!A:U,4,FALSE)&lt;1.5,"Moderado",IF(VLOOKUP(BP81,Fundamentus!A:U,4,FALSE)&gt;1.5,"Alto","n/a")))</f>
        <v>Alto</v>
      </c>
      <c r="EN81" s="17" t="str">
        <f>IF(VLOOKUP(BP81,Fundamentus!A:U,8,FALSE)&lt;0,"Risco elevado",IF(VLOOKUP(BP81,Fundamentus!A:U,8,FALSE)&lt;1,"Saudável",IF(VLOOKUP(BP81,Fundamentus!A:U,8,FALSE)&lt;3,"Estável",IF(VLOOKUP(BP81,Fundamentus!A:U,8,FALSE)&gt;3,"Alerta","n/a"))))</f>
        <v>Alerta</v>
      </c>
      <c r="EO81" s="28" t="str">
        <f t="shared" si="111"/>
        <v>Bom</v>
      </c>
      <c r="EP81" s="17" t="str">
        <f>IF(VLOOKUP(BP81,Fundamentus!A:U,12,FALSE)&lt;2,"Subvalorizada",IF(VLOOKUP(BP81,Fundamentus!A:U,12,FALSE)&lt;6,"Muita barata",IF(VLOOKUP(BP81,Fundamentus!A:U,12,FALSE)&lt;6,"Barata",IF(VLOOKUP(BP81,Fundamentus!A:U,12,FALSE)&lt;8,"Atrativa",IF(VLOOKUP(BP81,Fundamentus!A:U,12,FALSE)&gt;8,"Supervalorizada","n/a")))))</f>
        <v>Atrativa</v>
      </c>
      <c r="ER81" s="17" t="str">
        <f>IF(VLOOKUP(BP81,Fundamentus!A:U,17,FALSE)&lt;0.1,"Fraco retorno",IF(VLOOKUP(BP81,Fundamentus!A:U,17,FALSE)&gt;0.1,"Bom retorno","n/a"))</f>
        <v>Bom retorno</v>
      </c>
      <c r="ES81" s="17" t="str">
        <f>IF(VLOOKUP(BP81,Fundamentus!A:U,16,FALSE)&lt;0.1,"Ineficiente",IF(VLOOKUP(BP81,Fundamentus!A:U,16,FALSE)&gt;0.1,"Eficiente","n/a"))</f>
        <v>Eficiente</v>
      </c>
      <c r="ET81" s="33" t="str">
        <f>IF(VLOOKUP(BP81,Fundamentus!A:U,16,FALSE)&lt;0.1,"Oper. Ineficiente",IF(VLOOKUP(BP81,Fundamentus!A:U,16,FALSE)&gt;0.1,"Oper.Eficiente","n/a"))</f>
        <v>Oper.Eficiente</v>
      </c>
      <c r="EU81" s="34">
        <f>VLOOKUP(BP81,Fundamentus!A:U,14,FALSE)</f>
        <v>0.2964</v>
      </c>
      <c r="EV81" s="17" t="str">
        <f>IF(VLOOKUP(BP81,Fundamentus!A:U,21,FALSE)&lt;0,"Negativo",IF(VLOOKUP(BP81,Fundamentus!A:U,21,FALSE)&lt;0.05,"Fraco",IF(VLOOKUP(BP81,Fundamentus!A:U,21,FALSE)&lt;0.1,"Bom",IF(VLOOKUP(BP81,Fundamentus!A:U,21,FALSE)&gt;0.1,"Muito bom","n/a"))))</f>
        <v>Negativo</v>
      </c>
      <c r="EX81" s="29" t="str">
        <f>IF(VLOOKUP(BP81,Fundamentus!A:U,15,FALSE)&gt;1,"Bom",IF(VLOOKUP(BP81,Fundamentus!A:U,15,FALSE)&lt;1,"Ruim","n/a"))</f>
        <v>Bom</v>
      </c>
      <c r="EY81" s="17" t="str">
        <f>IF(VLOOKUP(BP81,Fundamentus!A:U,20,FALSE)&lt;0.5,"Baixa",IF(VLOOKUP(BP81,Fundamentus!A:U,20,FALSE)&lt;1,"Moderada",IF(VLOOKUP(BP81,Fundamentus!A:U,20,FALSE)&lt;2,"Alerta",IF(VLOOKUP(BP81,Fundamentus!A:U,20,FALSE)&gt;2,"Alta","n/a"))))</f>
        <v>Alta</v>
      </c>
      <c r="EZ81" s="10"/>
    </row>
    <row r="82" spans="1:156" s="2" customFormat="1" ht="11.25" x14ac:dyDescent="0.2">
      <c r="A82" s="4">
        <v>23.86</v>
      </c>
      <c r="B82" s="4">
        <v>24.61</v>
      </c>
      <c r="C82" s="4">
        <v>29.19</v>
      </c>
      <c r="D82" s="4">
        <v>29.18</v>
      </c>
      <c r="E82" s="4">
        <v>28.86</v>
      </c>
      <c r="F82" s="4">
        <v>29.24</v>
      </c>
      <c r="G82" s="4">
        <v>28.61</v>
      </c>
      <c r="H82" s="4">
        <v>30.67</v>
      </c>
      <c r="I82" s="4">
        <v>32.270000000000003</v>
      </c>
      <c r="J82" s="4">
        <v>31.2</v>
      </c>
      <c r="K82" s="4">
        <v>32.1</v>
      </c>
      <c r="L82" s="4">
        <v>31.22</v>
      </c>
      <c r="M82" s="4">
        <v>33.020000000000003</v>
      </c>
      <c r="N82" s="4">
        <v>33.159999999999997</v>
      </c>
      <c r="O82" s="4">
        <v>33.31</v>
      </c>
      <c r="P82" s="4">
        <v>36.53</v>
      </c>
      <c r="Q82" s="4">
        <v>34.83</v>
      </c>
      <c r="R82" s="4">
        <v>35</v>
      </c>
      <c r="S82" s="4">
        <v>34.340000000000003</v>
      </c>
      <c r="T82" s="4">
        <v>33.06</v>
      </c>
      <c r="U82" s="4">
        <v>32.340000000000003</v>
      </c>
      <c r="V82" s="4">
        <v>31.11</v>
      </c>
      <c r="W82" s="4">
        <v>32.44</v>
      </c>
      <c r="X82" s="4">
        <v>31.87</v>
      </c>
      <c r="Y82" s="4">
        <v>34.58</v>
      </c>
      <c r="Z82" s="4">
        <v>34.619999999999997</v>
      </c>
      <c r="AA82" s="4">
        <v>35.5</v>
      </c>
      <c r="AB82" s="4">
        <v>34.97</v>
      </c>
      <c r="AC82" s="4">
        <v>35.200000000000003</v>
      </c>
      <c r="AD82" s="4">
        <v>35.65</v>
      </c>
      <c r="AE82" s="4">
        <v>37.24</v>
      </c>
      <c r="AF82" s="4">
        <v>39.020000000000003</v>
      </c>
      <c r="AG82" s="4">
        <v>38.44</v>
      </c>
      <c r="AH82" s="4">
        <v>37.21</v>
      </c>
      <c r="AI82" s="4">
        <v>36.21</v>
      </c>
      <c r="AJ82" s="4">
        <v>36.33</v>
      </c>
      <c r="AK82" s="4">
        <v>35.35</v>
      </c>
      <c r="AL82" s="4">
        <v>33.85</v>
      </c>
      <c r="AM82" s="4">
        <v>33.64</v>
      </c>
      <c r="AN82" s="4">
        <v>35.44</v>
      </c>
      <c r="AO82" s="4">
        <v>34.56</v>
      </c>
      <c r="AP82" s="4">
        <v>33.54</v>
      </c>
      <c r="AQ82" s="4">
        <v>31.44</v>
      </c>
      <c r="AR82" s="4">
        <v>30.99</v>
      </c>
      <c r="AS82" s="4">
        <v>31.5</v>
      </c>
      <c r="AT82" s="4">
        <v>33.229999999999997</v>
      </c>
      <c r="AU82" s="4">
        <v>41.46</v>
      </c>
      <c r="AV82" s="4">
        <v>41.58</v>
      </c>
      <c r="AW82" s="4">
        <v>40.79</v>
      </c>
      <c r="AX82" s="4">
        <v>41.33</v>
      </c>
      <c r="AY82" s="12">
        <v>43.55</v>
      </c>
      <c r="AZ82" s="12">
        <v>47.87</v>
      </c>
      <c r="BA82" s="12">
        <v>44.08</v>
      </c>
      <c r="BB82" s="15">
        <v>42.5</v>
      </c>
      <c r="BC82" s="52">
        <v>39.18</v>
      </c>
      <c r="BD82" s="52">
        <v>41.74</v>
      </c>
      <c r="BE82" s="52">
        <v>40.119999999999997</v>
      </c>
      <c r="BF82" s="52">
        <v>39.03</v>
      </c>
      <c r="BG82" s="67">
        <v>39.03</v>
      </c>
      <c r="BH82" s="52">
        <v>39.03</v>
      </c>
      <c r="BI82" s="52">
        <v>39.03</v>
      </c>
      <c r="BJ82" s="52">
        <v>39.03</v>
      </c>
      <c r="BK82" s="52">
        <v>39.03</v>
      </c>
      <c r="BL82" s="52">
        <v>39.03</v>
      </c>
      <c r="BM82" s="52">
        <v>39.03</v>
      </c>
      <c r="BN82" s="52">
        <v>39.03</v>
      </c>
      <c r="BO82" s="52" cm="1">
        <f t="array" aca="1" ref="BO82" ca="1">_FV(EC82,"Preço")</f>
        <v>39.03</v>
      </c>
      <c r="BP82" s="69" t="s">
        <v>79</v>
      </c>
      <c r="BQ82" s="36" cm="1">
        <f t="array" aca="1" ref="BQ82" ca="1">_FV(EC82,"Média de volume",TRUE)</f>
        <v>23419940</v>
      </c>
      <c r="BR82" s="36">
        <v>94391100</v>
      </c>
      <c r="BS82" s="36" cm="1">
        <f t="array" aca="1" ref="BS82" ca="1">_FV(EC82,"Volume")</f>
        <v>94391100</v>
      </c>
      <c r="BT82" s="24" cm="1">
        <f t="array" aca="1" ref="BT82" ca="1">_FV(EC82,"Beta")</f>
        <v>0.49909999999999999</v>
      </c>
      <c r="BU82" s="71" cm="1">
        <f t="array" aca="1" ref="BU82" ca="1">_FV(EC82,"Variação (%)",TRUE)</f>
        <v>0</v>
      </c>
      <c r="BW82" s="17" cm="1">
        <f t="array" aca="1" ref="BW82" ca="1">_FV(EC82,"Baixo")</f>
        <v>38.4</v>
      </c>
      <c r="BX82" s="17" cm="1">
        <f t="array" aca="1" ref="BX82" ca="1">_FV(EC82,"Alto")</f>
        <v>40.06</v>
      </c>
      <c r="BY82" s="24"/>
      <c r="BZ82" s="63">
        <f ca="1">SQRT(22.5*(BO82/VLOOKUP(BP82,Fundamentus!A:U,3,FALSE))*(BO82/VLOOKUP(BP82,Fundamentus!A:U,4,FALSE)))</f>
        <v>118.86727711875339</v>
      </c>
      <c r="CB82" s="62">
        <f t="shared" ca="1" si="112"/>
        <v>0</v>
      </c>
      <c r="CC82" s="8"/>
      <c r="CD82" s="61">
        <f t="shared" si="113"/>
        <v>23.86</v>
      </c>
      <c r="CE82" s="61">
        <f t="shared" si="114"/>
        <v>47.87</v>
      </c>
      <c r="CF82" s="61">
        <f t="shared" si="115"/>
        <v>35.393939393939412</v>
      </c>
      <c r="CG82" s="14"/>
      <c r="CH82" s="35">
        <f t="shared" si="98"/>
        <v>39.03</v>
      </c>
      <c r="CI82" s="15">
        <f t="shared" si="116"/>
        <v>39.03</v>
      </c>
      <c r="CJ82" s="35">
        <f t="shared" si="99"/>
        <v>39.03</v>
      </c>
      <c r="CL82" s="14"/>
      <c r="CM82" s="17">
        <f t="shared" si="100"/>
        <v>1.9599999999999937</v>
      </c>
      <c r="CN82" s="17">
        <f t="shared" si="101"/>
        <v>12.909999999999997</v>
      </c>
      <c r="CO82" s="17">
        <f t="shared" si="102"/>
        <v>25.969999999999992</v>
      </c>
      <c r="CP82" s="38">
        <f t="shared" si="117"/>
        <v>36.919999999999995</v>
      </c>
      <c r="CQ82" s="17">
        <f t="shared" si="103"/>
        <v>49.97999999999999</v>
      </c>
      <c r="CR82" s="17">
        <f t="shared" si="104"/>
        <v>60.929999999999993</v>
      </c>
      <c r="CS82" s="17">
        <f t="shared" si="105"/>
        <v>73.989999999999981</v>
      </c>
      <c r="CT82" s="2" cm="1">
        <f t="array" aca="1" ref="CT82" ca="1">MAX(_xlfn._xlws.FILTER(CM82:CS82,CM82:CS82&lt;BO82))</f>
        <v>36.919999999999995</v>
      </c>
      <c r="CU82" s="2" cm="1">
        <f t="array" aca="1" ref="CU82" ca="1">MIN(_xlfn._xlws.FILTER($CM82:$CS82,$CM82:$CS82&gt;BO82))</f>
        <v>49.97999999999999</v>
      </c>
      <c r="CV82" s="16">
        <f t="shared" ca="1" si="80"/>
        <v>0.35373781148429018</v>
      </c>
      <c r="CW82" s="20">
        <f t="shared" ca="1" si="81"/>
        <v>-0.17686890574214509</v>
      </c>
      <c r="CX82" s="20">
        <f t="shared" ca="1" si="82"/>
        <v>-0.11791260382809672</v>
      </c>
      <c r="CY82" s="20">
        <f t="shared" ca="1" si="83"/>
        <v>-7.0747562296858038E-2</v>
      </c>
      <c r="CZ82" s="20">
        <f t="shared" ca="1" si="84"/>
        <v>-3.9304201276032243E-2</v>
      </c>
      <c r="DA82" s="20">
        <f t="shared" ca="1" si="85"/>
        <v>-2.0808106557899421E-2</v>
      </c>
      <c r="DB82" s="20">
        <f t="shared" ca="1" si="86"/>
        <v>-1.0719327620736066E-2</v>
      </c>
      <c r="DC82" s="20">
        <f t="shared" ca="1" si="87"/>
        <v>-5.4421201766813873E-3</v>
      </c>
      <c r="DD82" s="21">
        <f t="shared" ca="1" si="88"/>
        <v>5.4421201766813873E-3</v>
      </c>
      <c r="DE82" s="21">
        <f t="shared" ca="1" si="89"/>
        <v>1.0719327620736066E-2</v>
      </c>
      <c r="DF82" s="21">
        <f t="shared" ca="1" si="90"/>
        <v>2.0808106557899421E-2</v>
      </c>
      <c r="DG82" s="21">
        <f t="shared" ca="1" si="91"/>
        <v>3.9304201276032243E-2</v>
      </c>
      <c r="DH82" s="21">
        <f t="shared" ca="1" si="92"/>
        <v>7.0747562296858038E-2</v>
      </c>
      <c r="DI82" s="21">
        <f t="shared" ca="1" si="93"/>
        <v>0.11791260382809672</v>
      </c>
      <c r="DJ82" s="21">
        <f t="shared" ca="1" si="94"/>
        <v>0.17686890574214509</v>
      </c>
      <c r="DL82" s="16" cm="1">
        <f t="array" aca="1" ref="DL82" ca="1">MAX(_xlfn._xlws.FILTER(CW82:DJ82,CW82:DJ82&lt;BU82))</f>
        <v>-5.4421201766813873E-3</v>
      </c>
      <c r="DM82" s="16" cm="1">
        <f t="array" aca="1" ref="DM82" ca="1">MIN(_xlfn._xlws.FILTER(CW82:DJ82,CW82:DJ82&gt;BU82))</f>
        <v>5.4421201766813873E-3</v>
      </c>
      <c r="DN82" s="2" cm="1">
        <f t="array" aca="1" ref="DN82" ca="1">_FV(EC82,"Fechamento anterior",TRUE)</f>
        <v>38.29</v>
      </c>
      <c r="DO82" s="28">
        <f t="shared" ca="1" si="106"/>
        <v>2.2756126474151319</v>
      </c>
      <c r="DP82" s="15">
        <f t="shared" ca="1" si="95"/>
        <v>38.081621218434869</v>
      </c>
      <c r="DQ82" s="15">
        <f t="shared" ca="1" si="96"/>
        <v>38.49837878156513</v>
      </c>
      <c r="DR82" s="9"/>
      <c r="DS82" s="9"/>
      <c r="DT82" s="9"/>
      <c r="DU82" s="89">
        <v>1.0884240353362775E-2</v>
      </c>
      <c r="DV82" s="89">
        <f t="shared" ca="1" si="107"/>
        <v>1.0884240353362775E-2</v>
      </c>
      <c r="DW82" s="72" t="e">
        <f t="shared" ca="1" si="108"/>
        <v>#DIV/0!</v>
      </c>
      <c r="DX82" s="37"/>
      <c r="DY82" s="35">
        <f t="shared" si="118"/>
        <v>0</v>
      </c>
      <c r="DZ82" s="56"/>
      <c r="EA82" s="56"/>
      <c r="EC82" s="2" t="e" vm="82">
        <v>#VALUE!</v>
      </c>
      <c r="EE82" s="10" cm="1">
        <f t="array" aca="1" ref="EE82" ca="1">_FV(EC82,"Ações em circulação",TRUE)</f>
        <v>2218116000</v>
      </c>
      <c r="EF82" s="18">
        <f>VLOOKUP(BP82,Fundamentus!A:U,5,FALSE)</f>
        <v>7.6999999999999999E-2</v>
      </c>
      <c r="EG82" s="2">
        <f t="shared" ca="1" si="109"/>
        <v>1124325551688.3118</v>
      </c>
      <c r="EH82" s="17">
        <v>30918952671.428574</v>
      </c>
      <c r="EI82" s="17">
        <f t="shared" ca="1" si="110"/>
        <v>30918952671.428574</v>
      </c>
      <c r="EK82" s="16">
        <f t="shared" ca="1" si="97"/>
        <v>0</v>
      </c>
      <c r="EL82" s="32" t="str">
        <f>IF(VLOOKUP(BP82,Fundamentus!A:U,3,FALSE)&lt;15,"Bom",IF(VLOOKUP(BP82,Fundamentus!A:U,3,FALSE)&gt;15,"Ruim","n/a"))</f>
        <v>Bom</v>
      </c>
      <c r="EM82" s="28" t="str">
        <f>IF(VLOOKUP(BP82,Fundamentus!A:U,4,FALSE)&lt;1,"Baixo",IF(VLOOKUP(BP82,Fundamentus!A:U,4,FALSE)&lt;1.5,"Moderado",IF(VLOOKUP(BP82,Fundamentus!A:U,4,FALSE)&gt;1.5,"Alto","n/a")))</f>
        <v>Baixo</v>
      </c>
      <c r="EN82" s="17" t="str">
        <f>IF(VLOOKUP(BP82,Fundamentus!A:U,8,FALSE)&lt;0,"Risco elevado",IF(VLOOKUP(BP82,Fundamentus!A:U,8,FALSE)&lt;1,"Saudável",IF(VLOOKUP(BP82,Fundamentus!A:U,8,FALSE)&lt;3,"Estável",IF(VLOOKUP(BP82,Fundamentus!A:U,8,FALSE)&gt;3,"Alerta","n/a"))))</f>
        <v>Saudável</v>
      </c>
      <c r="EO82" s="28" t="str">
        <f t="shared" si="111"/>
        <v>Ruim</v>
      </c>
      <c r="EP82" s="17" t="str">
        <f>IF(VLOOKUP(BP82,Fundamentus!A:U,12,FALSE)&lt;2,"Subvalorizada",IF(VLOOKUP(BP82,Fundamentus!A:U,12,FALSE)&lt;6,"Muita barata",IF(VLOOKUP(BP82,Fundamentus!A:U,12,FALSE)&lt;6,"Barata",IF(VLOOKUP(BP82,Fundamentus!A:U,12,FALSE)&lt;8,"Atrativa",IF(VLOOKUP(BP82,Fundamentus!A:U,12,FALSE)&gt;8,"Supervalorizada","n/a")))))</f>
        <v>Muita barata</v>
      </c>
      <c r="ER82" s="17" t="str">
        <f>IF(VLOOKUP(BP82,Fundamentus!A:U,17,FALSE)&lt;0.1,"Fraco retorno",IF(VLOOKUP(BP82,Fundamentus!A:U,17,FALSE)&gt;0.1,"Bom retorno","n/a"))</f>
        <v>Bom retorno</v>
      </c>
      <c r="ES82" s="17" t="str">
        <f>IF(VLOOKUP(BP82,Fundamentus!A:U,16,FALSE)&lt;0.1,"Ineficiente",IF(VLOOKUP(BP82,Fundamentus!A:U,16,FALSE)&gt;0.1,"Eficiente","n/a"))</f>
        <v>Eficiente</v>
      </c>
      <c r="ET82" s="33" t="str">
        <f>IF(VLOOKUP(BP82,Fundamentus!A:U,16,FALSE)&lt;0.1,"Oper. Ineficiente",IF(VLOOKUP(BP82,Fundamentus!A:U,16,FALSE)&gt;0.1,"Oper.Eficiente","n/a"))</f>
        <v>Oper.Eficiente</v>
      </c>
      <c r="EU82" s="34">
        <f>VLOOKUP(BP82,Fundamentus!A:U,14,FALSE)</f>
        <v>2.75E-2</v>
      </c>
      <c r="EV82" s="17" t="str">
        <f>IF(VLOOKUP(BP82,Fundamentus!A:U,21,FALSE)&lt;0,"Negativo",IF(VLOOKUP(BP82,Fundamentus!A:U,21,FALSE)&lt;0.05,"Fraco",IF(VLOOKUP(BP82,Fundamentus!A:U,21,FALSE)&lt;0.1,"Bom",IF(VLOOKUP(BP82,Fundamentus!A:U,21,FALSE)&gt;0.1,"Muito bom","n/a"))))</f>
        <v>Bom</v>
      </c>
      <c r="EX82" s="29" t="str">
        <f>IF(VLOOKUP(BP82,Fundamentus!A:U,15,FALSE)&gt;1,"Bom",IF(VLOOKUP(BP82,Fundamentus!A:U,15,FALSE)&lt;1,"Ruim","n/a"))</f>
        <v>Bom</v>
      </c>
      <c r="EY82" s="17" t="str">
        <f>IF(VLOOKUP(BP82,Fundamentus!A:U,20,FALSE)&lt;0.5,"Baixa",IF(VLOOKUP(BP82,Fundamentus!A:U,20,FALSE)&lt;1,"Moderada",IF(VLOOKUP(BP82,Fundamentus!A:U,20,FALSE)&lt;2,"Alerta",IF(VLOOKUP(BP82,Fundamentus!A:U,20,FALSE)&gt;2,"Alta","n/a"))))</f>
        <v>Alta</v>
      </c>
      <c r="EZ82" s="10"/>
    </row>
    <row r="83" spans="1:156" s="2" customFormat="1" ht="11.25" x14ac:dyDescent="0.2">
      <c r="A83" s="4">
        <v>6.11</v>
      </c>
      <c r="B83" s="4">
        <v>5.88</v>
      </c>
      <c r="C83" s="4">
        <v>5.97</v>
      </c>
      <c r="D83" s="4">
        <v>5.45</v>
      </c>
      <c r="E83" s="4">
        <v>5.27</v>
      </c>
      <c r="F83" s="4">
        <v>5.4</v>
      </c>
      <c r="G83" s="4">
        <v>5.35</v>
      </c>
      <c r="H83" s="4">
        <v>5.0999999999999996</v>
      </c>
      <c r="I83" s="4">
        <v>5.22</v>
      </c>
      <c r="J83" s="4">
        <v>5.39</v>
      </c>
      <c r="K83" s="4">
        <v>5.44</v>
      </c>
      <c r="L83" s="4">
        <v>5.53</v>
      </c>
      <c r="M83" s="4">
        <v>5.78</v>
      </c>
      <c r="N83" s="4">
        <v>5.69</v>
      </c>
      <c r="O83" s="4">
        <v>6.15</v>
      </c>
      <c r="P83" s="4">
        <v>5.76</v>
      </c>
      <c r="Q83" s="4">
        <v>6.42</v>
      </c>
      <c r="R83" s="4">
        <v>6.32</v>
      </c>
      <c r="S83" s="4">
        <v>6.2</v>
      </c>
      <c r="T83" s="4">
        <v>6.18</v>
      </c>
      <c r="U83" s="4">
        <v>5.9</v>
      </c>
      <c r="V83" s="4">
        <v>5.55</v>
      </c>
      <c r="W83" s="4">
        <v>5.5</v>
      </c>
      <c r="X83" s="4">
        <v>5.7</v>
      </c>
      <c r="Y83" s="4">
        <v>5.7</v>
      </c>
      <c r="Z83" s="4">
        <v>6.28</v>
      </c>
      <c r="AA83" s="4">
        <v>6.95</v>
      </c>
      <c r="AB83" s="4">
        <v>7.47</v>
      </c>
      <c r="AC83" s="4">
        <v>7.05</v>
      </c>
      <c r="AD83" s="4">
        <v>6.84</v>
      </c>
      <c r="AE83" s="4">
        <v>7.04</v>
      </c>
      <c r="AF83" s="4">
        <v>7.01</v>
      </c>
      <c r="AG83" s="4">
        <v>6.3</v>
      </c>
      <c r="AH83" s="4">
        <v>6.09</v>
      </c>
      <c r="AI83" s="4">
        <v>6.28</v>
      </c>
      <c r="AJ83" s="4">
        <v>6.09</v>
      </c>
      <c r="AK83" s="4">
        <v>6.09</v>
      </c>
      <c r="AL83" s="4">
        <v>6.33</v>
      </c>
      <c r="AM83" s="4">
        <v>6.24</v>
      </c>
      <c r="AN83" s="4">
        <v>6.53</v>
      </c>
      <c r="AO83" s="4">
        <v>6.22</v>
      </c>
      <c r="AP83" s="4">
        <v>6.5</v>
      </c>
      <c r="AQ83" s="4">
        <v>6.84</v>
      </c>
      <c r="AR83" s="4">
        <v>6.75</v>
      </c>
      <c r="AS83" s="4">
        <v>6.92</v>
      </c>
      <c r="AT83" s="4">
        <v>7.34</v>
      </c>
      <c r="AU83" s="4">
        <v>7.35</v>
      </c>
      <c r="AV83" s="4">
        <v>7.32</v>
      </c>
      <c r="AW83" s="4">
        <v>6.74</v>
      </c>
      <c r="AX83" s="4">
        <v>7</v>
      </c>
      <c r="AY83" s="12">
        <v>7.5</v>
      </c>
      <c r="AZ83" s="12">
        <v>7.85</v>
      </c>
      <c r="BA83" s="12">
        <v>8.09</v>
      </c>
      <c r="BB83" s="15">
        <v>8.2100000000000009</v>
      </c>
      <c r="BC83" s="52">
        <v>8.15</v>
      </c>
      <c r="BD83" s="52">
        <v>8.5399999999999991</v>
      </c>
      <c r="BE83" s="52">
        <v>8.7200000000000006</v>
      </c>
      <c r="BF83" s="52">
        <v>8.43</v>
      </c>
      <c r="BG83" s="67">
        <v>8.69</v>
      </c>
      <c r="BH83" s="52">
        <v>8.86</v>
      </c>
      <c r="BI83" s="52">
        <v>8.52</v>
      </c>
      <c r="BJ83" s="52">
        <v>8.4700000000000006</v>
      </c>
      <c r="BK83" s="52">
        <v>8.2899999999999991</v>
      </c>
      <c r="BL83" s="52">
        <v>8.02</v>
      </c>
      <c r="BM83" s="52">
        <v>7.79</v>
      </c>
      <c r="BN83" s="52">
        <v>7.39</v>
      </c>
      <c r="BO83" s="52" cm="1">
        <f t="array" aca="1" ref="BO83" ca="1">_FV(EC83,"Preço")</f>
        <v>7.39</v>
      </c>
      <c r="BP83" s="69" t="s">
        <v>80</v>
      </c>
      <c r="BQ83" s="36" cm="1">
        <f t="array" aca="1" ref="BQ83" ca="1">_FV(EC83,"Média de volume",TRUE)</f>
        <v>204570</v>
      </c>
      <c r="BR83" s="36">
        <v>253300</v>
      </c>
      <c r="BS83" s="36" cm="1">
        <f t="array" aca="1" ref="BS83" ca="1">_FV(EC83,"Volume")</f>
        <v>253300</v>
      </c>
      <c r="BT83" s="24" cm="1">
        <f t="array" aca="1" ref="BT83" ca="1">_FV(EC83,"Beta")</f>
        <v>1.2748999999999999</v>
      </c>
      <c r="BU83" s="71" cm="1">
        <f t="array" aca="1" ref="BU83" ca="1">_FV(EC83,"Variação (%)",TRUE)</f>
        <v>-2.6989999999999996E-3</v>
      </c>
      <c r="BW83" s="17" cm="1">
        <f t="array" aca="1" ref="BW83" ca="1">_FV(EC83,"Baixo")</f>
        <v>7.29</v>
      </c>
      <c r="BX83" s="17" cm="1">
        <f t="array" aca="1" ref="BX83" ca="1">_FV(EC83,"Alto")</f>
        <v>7.57</v>
      </c>
      <c r="BY83" s="24"/>
      <c r="BZ83" s="63">
        <f ca="1">SQRT(22.5*(BO83/VLOOKUP(BP83,Fundamentus!A:U,3,FALSE))*(BO83/VLOOKUP(BP83,Fundamentus!A:U,4,FALSE)))</f>
        <v>14.189631877363883</v>
      </c>
      <c r="CB83" s="62">
        <f t="shared" ca="1" si="112"/>
        <v>0</v>
      </c>
      <c r="CC83" s="8"/>
      <c r="CD83" s="61">
        <f t="shared" si="113"/>
        <v>5.0999999999999996</v>
      </c>
      <c r="CE83" s="61">
        <f t="shared" si="114"/>
        <v>8.86</v>
      </c>
      <c r="CF83" s="61">
        <f t="shared" si="115"/>
        <v>6.6977272727272741</v>
      </c>
      <c r="CG83" s="14"/>
      <c r="CH83" s="35">
        <f t="shared" si="98"/>
        <v>6.3803790418898423</v>
      </c>
      <c r="CI83" s="15">
        <f t="shared" si="116"/>
        <v>7.1399999999998727</v>
      </c>
      <c r="CJ83" s="35">
        <f t="shared" si="99"/>
        <v>7.8996209581099031</v>
      </c>
      <c r="CL83" s="14"/>
      <c r="CM83" s="17">
        <f t="shared" si="100"/>
        <v>1.6133333333333333</v>
      </c>
      <c r="CN83" s="17">
        <f t="shared" si="101"/>
        <v>3.3566666666666665</v>
      </c>
      <c r="CO83" s="17">
        <f t="shared" si="102"/>
        <v>5.3733333333333331</v>
      </c>
      <c r="CP83" s="38">
        <f t="shared" si="117"/>
        <v>7.1166666666666663</v>
      </c>
      <c r="CQ83" s="17">
        <f t="shared" si="103"/>
        <v>9.1333333333333329</v>
      </c>
      <c r="CR83" s="17">
        <f t="shared" si="104"/>
        <v>10.876666666666665</v>
      </c>
      <c r="CS83" s="17">
        <f t="shared" si="105"/>
        <v>12.893333333333333</v>
      </c>
      <c r="CT83" s="2" cm="1">
        <f t="array" aca="1" ref="CT83" ca="1">MAX(_xlfn._xlws.FILTER(CM83:CS83,CM83:CS83&lt;BO83))</f>
        <v>7.1166666666666663</v>
      </c>
      <c r="CU83" s="2" cm="1">
        <f t="array" aca="1" ref="CU83" ca="1">MIN(_xlfn._xlws.FILTER($CM83:$CS83,$CM83:$CS83&gt;BO83))</f>
        <v>9.1333333333333329</v>
      </c>
      <c r="CV83" s="16">
        <f t="shared" ref="CV83:CV114" ca="1" si="119">(CU83/CT83)-1</f>
        <v>0.28337236533957855</v>
      </c>
      <c r="CW83" s="20">
        <f t="shared" ref="CW83:CW114" ca="1" si="120">-$CV83/2</f>
        <v>-0.14168618266978927</v>
      </c>
      <c r="CX83" s="20">
        <f t="shared" ref="CX83:CX114" ca="1" si="121">-$CV83/3</f>
        <v>-9.4457455113192854E-2</v>
      </c>
      <c r="CY83" s="20">
        <f t="shared" ref="CY83:CY114" ca="1" si="122">-$CV83/5</f>
        <v>-5.6674473067915711E-2</v>
      </c>
      <c r="CZ83" s="20">
        <f t="shared" ref="CZ83:CZ114" ca="1" si="123">-$CV83/9</f>
        <v>-3.1485818371064282E-2</v>
      </c>
      <c r="DA83" s="20">
        <f t="shared" ref="DA83:DA114" ca="1" si="124">-$CV83/17</f>
        <v>-1.6668962667034031E-2</v>
      </c>
      <c r="DB83" s="20">
        <f t="shared" ref="DB83:DB114" ca="1" si="125">-$CV83/33</f>
        <v>-8.5870413739266224E-3</v>
      </c>
      <c r="DC83" s="20">
        <f t="shared" ref="DC83:DC114" ca="1" si="126">-$CV83/65</f>
        <v>-4.3595748513781318E-3</v>
      </c>
      <c r="DD83" s="21">
        <f t="shared" ref="DD83:DD114" ca="1" si="127">-$CV83/65*-1</f>
        <v>4.3595748513781318E-3</v>
      </c>
      <c r="DE83" s="21">
        <f t="shared" ref="DE83:DE114" ca="1" si="128">-$CV83/33*-1</f>
        <v>8.5870413739266224E-3</v>
      </c>
      <c r="DF83" s="21">
        <f t="shared" ref="DF83:DF114" ca="1" si="129">-$CV83/17*-1</f>
        <v>1.6668962667034031E-2</v>
      </c>
      <c r="DG83" s="21">
        <f t="shared" ref="DG83:DG114" ca="1" si="130">-$CV83/9*-1</f>
        <v>3.1485818371064282E-2</v>
      </c>
      <c r="DH83" s="21">
        <f t="shared" ref="DH83:DH114" ca="1" si="131">-$CV83/5*-1</f>
        <v>5.6674473067915711E-2</v>
      </c>
      <c r="DI83" s="21">
        <f t="shared" ref="DI83:DI114" ca="1" si="132">-$CV83/3*-1</f>
        <v>9.4457455113192854E-2</v>
      </c>
      <c r="DJ83" s="21">
        <f t="shared" ref="DJ83:DJ114" ca="1" si="133">-$CV83/2*-1</f>
        <v>0.14168618266978927</v>
      </c>
      <c r="DL83" s="16" cm="1">
        <f t="array" aca="1" ref="DL83" ca="1">MAX(_xlfn._xlws.FILTER(CW83:DJ83,CW83:DJ83&lt;BU83))</f>
        <v>-4.3595748513781318E-3</v>
      </c>
      <c r="DM83" s="16" cm="1">
        <f t="array" aca="1" ref="DM83" ca="1">MIN(_xlfn._xlws.FILTER(CW83:DJ83,CW83:DJ83&gt;BU83))</f>
        <v>4.3595748513781318E-3</v>
      </c>
      <c r="DN83" s="2" cm="1">
        <f t="array" aca="1" ref="DN83" ca="1">_FV(EC83,"Fechamento anterior",TRUE)</f>
        <v>7.41</v>
      </c>
      <c r="DO83" s="28">
        <f t="shared" ca="1" si="106"/>
        <v>0.19044512106712336</v>
      </c>
      <c r="DP83" s="15">
        <f t="shared" ref="DP83:DP114" ca="1" si="134">DN83+(DN83*DL83)</f>
        <v>7.3776955503512882</v>
      </c>
      <c r="DQ83" s="15">
        <f t="shared" ref="DQ83:DQ114" ca="1" si="135">DN83+(DN83*DM83)</f>
        <v>7.4423044496487121</v>
      </c>
      <c r="DR83" s="9"/>
      <c r="DS83" s="9"/>
      <c r="DT83" s="9"/>
      <c r="DU83" s="89">
        <v>9.3511583957443835E-3</v>
      </c>
      <c r="DV83" s="89">
        <f t="shared" ca="1" si="107"/>
        <v>8.7191497027562636E-3</v>
      </c>
      <c r="DW83" s="72">
        <f t="shared" ca="1" si="108"/>
        <v>0.32911150927449101</v>
      </c>
      <c r="DX83" s="37"/>
      <c r="DY83" s="35">
        <f t="shared" si="118"/>
        <v>0.37981047905501514</v>
      </c>
      <c r="DZ83" s="56"/>
      <c r="EA83" s="56"/>
      <c r="EC83" s="2" t="e" vm="83">
        <v>#VALUE!</v>
      </c>
      <c r="EE83" s="10" cm="1">
        <f t="array" aca="1" ref="EE83" ca="1">_FV(EC83,"Ações em circulação",TRUE)</f>
        <v>123812800</v>
      </c>
      <c r="EF83" s="18">
        <f>VLOOKUP(BP83,Fundamentus!A:U,5,FALSE)</f>
        <v>9.4E-2</v>
      </c>
      <c r="EG83" s="2">
        <f t="shared" ca="1" si="109"/>
        <v>9733793531.9148941</v>
      </c>
      <c r="EH83" s="17">
        <v>121672419.14893618</v>
      </c>
      <c r="EI83" s="17">
        <f t="shared" ca="1" si="110"/>
        <v>121672419.14893618</v>
      </c>
      <c r="EK83" s="16">
        <f t="shared" ca="1" si="97"/>
        <v>0</v>
      </c>
      <c r="EL83" s="32" t="str">
        <f>IF(VLOOKUP(BP83,Fundamentus!A:U,3,FALSE)&lt;15,"Bom",IF(VLOOKUP(BP83,Fundamentus!A:U,3,FALSE)&gt;15,"Ruim","n/a"))</f>
        <v>Bom</v>
      </c>
      <c r="EM83" s="28" t="str">
        <f>IF(VLOOKUP(BP83,Fundamentus!A:U,4,FALSE)&lt;1,"Baixo",IF(VLOOKUP(BP83,Fundamentus!A:U,4,FALSE)&lt;1.5,"Moderado",IF(VLOOKUP(BP83,Fundamentus!A:U,4,FALSE)&gt;1.5,"Alto","n/a")))</f>
        <v>Baixo</v>
      </c>
      <c r="EN83" s="17" t="str">
        <f>IF(VLOOKUP(BP83,Fundamentus!A:U,8,FALSE)&lt;0,"Risco elevado",IF(VLOOKUP(BP83,Fundamentus!A:U,8,FALSE)&lt;1,"Saudável",IF(VLOOKUP(BP83,Fundamentus!A:U,8,FALSE)&lt;3,"Estável",IF(VLOOKUP(BP83,Fundamentus!A:U,8,FALSE)&gt;3,"Alerta","n/a"))))</f>
        <v>Estável</v>
      </c>
      <c r="EO83" s="28" t="str">
        <f t="shared" si="111"/>
        <v>Ruim</v>
      </c>
      <c r="EP83" s="17" t="str">
        <f>IF(VLOOKUP(BP83,Fundamentus!A:U,12,FALSE)&lt;2,"Subvalorizada",IF(VLOOKUP(BP83,Fundamentus!A:U,12,FALSE)&lt;6,"Muita barata",IF(VLOOKUP(BP83,Fundamentus!A:U,12,FALSE)&lt;6,"Barata",IF(VLOOKUP(BP83,Fundamentus!A:U,12,FALSE)&lt;8,"Atrativa",IF(VLOOKUP(BP83,Fundamentus!A:U,12,FALSE)&gt;8,"Supervalorizada","n/a")))))</f>
        <v>Muita barata</v>
      </c>
      <c r="ER83" s="17" t="str">
        <f>IF(VLOOKUP(BP83,Fundamentus!A:U,17,FALSE)&lt;0.1,"Fraco retorno",IF(VLOOKUP(BP83,Fundamentus!A:U,17,FALSE)&gt;0.1,"Bom retorno","n/a"))</f>
        <v>Fraco retorno</v>
      </c>
      <c r="ES83" s="17" t="str">
        <f>IF(VLOOKUP(BP83,Fundamentus!A:U,16,FALSE)&lt;0.1,"Ineficiente",IF(VLOOKUP(BP83,Fundamentus!A:U,16,FALSE)&gt;0.1,"Eficiente","n/a"))</f>
        <v>Ineficiente</v>
      </c>
      <c r="ET83" s="33" t="str">
        <f>IF(VLOOKUP(BP83,Fundamentus!A:U,16,FALSE)&lt;0.1,"Oper. Ineficiente",IF(VLOOKUP(BP83,Fundamentus!A:U,16,FALSE)&gt;0.1,"Oper.Eficiente","n/a"))</f>
        <v>Oper. Ineficiente</v>
      </c>
      <c r="EU83" s="34">
        <f>VLOOKUP(BP83,Fundamentus!A:U,14,FALSE)</f>
        <v>1.2500000000000001E-2</v>
      </c>
      <c r="EV83" s="17" t="str">
        <f>IF(VLOOKUP(BP83,Fundamentus!A:U,21,FALSE)&lt;0,"Negativo",IF(VLOOKUP(BP83,Fundamentus!A:U,21,FALSE)&lt;0.05,"Fraco",IF(VLOOKUP(BP83,Fundamentus!A:U,21,FALSE)&lt;0.1,"Bom",IF(VLOOKUP(BP83,Fundamentus!A:U,21,FALSE)&gt;0.1,"Muito bom","n/a"))))</f>
        <v>Muito bom</v>
      </c>
      <c r="EX83" s="29" t="str">
        <f>IF(VLOOKUP(BP83,Fundamentus!A:U,15,FALSE)&gt;1,"Bom",IF(VLOOKUP(BP83,Fundamentus!A:U,15,FALSE)&lt;1,"Ruim","n/a"))</f>
        <v>Bom</v>
      </c>
      <c r="EY83" s="17" t="str">
        <f>IF(VLOOKUP(BP83,Fundamentus!A:U,20,FALSE)&lt;0.5,"Baixa",IF(VLOOKUP(BP83,Fundamentus!A:U,20,FALSE)&lt;1,"Moderada",IF(VLOOKUP(BP83,Fundamentus!A:U,20,FALSE)&lt;2,"Alerta",IF(VLOOKUP(BP83,Fundamentus!A:U,20,FALSE)&gt;2,"Alta","n/a"))))</f>
        <v>Moderada</v>
      </c>
      <c r="EZ83" s="10"/>
    </row>
    <row r="84" spans="1:156" s="2" customFormat="1" ht="11.25" x14ac:dyDescent="0.2">
      <c r="A84" s="4">
        <v>31.61</v>
      </c>
      <c r="B84" s="4">
        <v>30.93</v>
      </c>
      <c r="C84" s="4">
        <v>30.74</v>
      </c>
      <c r="D84" s="4">
        <v>30.02</v>
      </c>
      <c r="E84" s="4">
        <v>29.4</v>
      </c>
      <c r="F84" s="4">
        <v>29.48</v>
      </c>
      <c r="G84" s="4">
        <v>29.78</v>
      </c>
      <c r="H84" s="4">
        <v>29.27</v>
      </c>
      <c r="I84" s="4">
        <v>31</v>
      </c>
      <c r="J84" s="4">
        <v>32.58</v>
      </c>
      <c r="K84" s="4">
        <v>34.159999999999997</v>
      </c>
      <c r="L84" s="4">
        <v>32.49</v>
      </c>
      <c r="M84" s="4">
        <v>32.67</v>
      </c>
      <c r="N84" s="4">
        <v>33.06</v>
      </c>
      <c r="O84" s="4">
        <v>34.659999999999997</v>
      </c>
      <c r="P84" s="4">
        <v>34.89</v>
      </c>
      <c r="Q84" s="4">
        <v>35.31</v>
      </c>
      <c r="R84" s="4">
        <v>34.200000000000003</v>
      </c>
      <c r="S84" s="4">
        <v>34.799999999999997</v>
      </c>
      <c r="T84" s="4">
        <v>34</v>
      </c>
      <c r="U84" s="4">
        <v>32.65</v>
      </c>
      <c r="V84" s="4">
        <v>32.44</v>
      </c>
      <c r="W84" s="4">
        <v>32.5</v>
      </c>
      <c r="X84" s="4">
        <v>31.84</v>
      </c>
      <c r="Y84" s="4">
        <v>32.03</v>
      </c>
      <c r="Z84" s="4">
        <v>31.79</v>
      </c>
      <c r="AA84" s="4">
        <v>31.41</v>
      </c>
      <c r="AB84" s="4">
        <v>31.28</v>
      </c>
      <c r="AC84" s="4">
        <v>32.67</v>
      </c>
      <c r="AD84" s="4">
        <v>32.74</v>
      </c>
      <c r="AE84" s="4">
        <v>30.78</v>
      </c>
      <c r="AF84" s="4">
        <v>29.75</v>
      </c>
      <c r="AG84" s="4">
        <v>29.43</v>
      </c>
      <c r="AH84" s="4">
        <v>27.93</v>
      </c>
      <c r="AI84" s="4">
        <v>27.64</v>
      </c>
      <c r="AJ84" s="4">
        <v>26.24</v>
      </c>
      <c r="AK84" s="4">
        <v>27.16</v>
      </c>
      <c r="AL84" s="4">
        <v>27.86</v>
      </c>
      <c r="AM84" s="4">
        <v>28.37</v>
      </c>
      <c r="AN84" s="4">
        <v>30.15</v>
      </c>
      <c r="AO84" s="4">
        <v>30.3</v>
      </c>
      <c r="AP84" s="4">
        <v>31.43</v>
      </c>
      <c r="AQ84" s="4">
        <v>31.19</v>
      </c>
      <c r="AR84" s="4">
        <v>30.06</v>
      </c>
      <c r="AS84" s="4">
        <v>30.8</v>
      </c>
      <c r="AT84" s="4">
        <v>32.22</v>
      </c>
      <c r="AU84" s="4">
        <v>33.034999999999997</v>
      </c>
      <c r="AV84" s="4">
        <v>32.270000000000003</v>
      </c>
      <c r="AW84" s="4">
        <v>33.33</v>
      </c>
      <c r="AX84" s="4">
        <v>33.6</v>
      </c>
      <c r="AY84" s="12">
        <v>34.15</v>
      </c>
      <c r="AZ84" s="12">
        <v>35.950000000000003</v>
      </c>
      <c r="BA84" s="12">
        <v>36.81</v>
      </c>
      <c r="BB84" s="15">
        <v>36.81</v>
      </c>
      <c r="BC84" s="52">
        <v>36.99</v>
      </c>
      <c r="BD84" s="52">
        <v>36.29</v>
      </c>
      <c r="BE84" s="52">
        <v>36.65</v>
      </c>
      <c r="BF84" s="52">
        <v>36.25</v>
      </c>
      <c r="BG84" s="67">
        <v>36.4</v>
      </c>
      <c r="BH84" s="52">
        <v>35.93</v>
      </c>
      <c r="BI84" s="52">
        <v>35.28</v>
      </c>
      <c r="BJ84" s="52">
        <v>36.07</v>
      </c>
      <c r="BK84" s="52">
        <v>34.340000000000003</v>
      </c>
      <c r="BL84" s="52">
        <v>34.22</v>
      </c>
      <c r="BM84" s="52">
        <v>33.880000000000003</v>
      </c>
      <c r="BN84" s="52">
        <v>34.33</v>
      </c>
      <c r="BO84" s="52" cm="1">
        <f t="array" aca="1" ref="BO84" ca="1">_FV(EC84,"Preço")</f>
        <v>34.33</v>
      </c>
      <c r="BP84" s="69" t="s">
        <v>81</v>
      </c>
      <c r="BQ84" s="36" cm="1">
        <f t="array" aca="1" ref="BQ84" ca="1">_FV(EC84,"Média de volume",TRUE)</f>
        <v>4935520</v>
      </c>
      <c r="BR84" s="36">
        <v>6028900</v>
      </c>
      <c r="BS84" s="36" cm="1">
        <f t="array" aca="1" ref="BS84" ca="1">_FV(EC84,"Volume")</f>
        <v>6028900</v>
      </c>
      <c r="BT84" s="24" cm="1">
        <f t="array" aca="1" ref="BT84" ca="1">_FV(EC84,"Beta")</f>
        <v>0.89380000000000004</v>
      </c>
      <c r="BU84" s="71" cm="1">
        <f t="array" aca="1" ref="BU84" ca="1">_FV(EC84,"Variação (%)",TRUE)</f>
        <v>7.6309999999999998E-3</v>
      </c>
      <c r="BW84" s="17" cm="1">
        <f t="array" aca="1" ref="BW84" ca="1">_FV(EC84,"Baixo")</f>
        <v>34.08</v>
      </c>
      <c r="BX84" s="17" cm="1">
        <f t="array" aca="1" ref="BX84" ca="1">_FV(EC84,"Alto")</f>
        <v>35.049999999999997</v>
      </c>
      <c r="BY84" s="24"/>
      <c r="BZ84" s="63">
        <f ca="1">SQRT(22.5*(BO84/VLOOKUP(BP84,Fundamentus!A:U,3,FALSE))*(BO84/VLOOKUP(BP84,Fundamentus!A:U,4,FALSE)))</f>
        <v>34.120461361404445</v>
      </c>
      <c r="CB84" s="62">
        <f t="shared" ca="1" si="112"/>
        <v>0</v>
      </c>
      <c r="CC84" s="8"/>
      <c r="CD84" s="61">
        <f t="shared" si="113"/>
        <v>26.24</v>
      </c>
      <c r="CE84" s="61">
        <f t="shared" si="114"/>
        <v>36.99</v>
      </c>
      <c r="CF84" s="61">
        <f t="shared" si="115"/>
        <v>32.428712121212122</v>
      </c>
      <c r="CG84" s="14"/>
      <c r="CH84" s="35">
        <f t="shared" si="98"/>
        <v>32.561408436263889</v>
      </c>
      <c r="CI84" s="15">
        <f t="shared" si="116"/>
        <v>34.100000000000023</v>
      </c>
      <c r="CJ84" s="35">
        <f t="shared" si="99"/>
        <v>35.638591563736156</v>
      </c>
      <c r="CL84" s="14"/>
      <c r="CM84" s="17">
        <f t="shared" si="100"/>
        <v>17.3</v>
      </c>
      <c r="CN84" s="17">
        <f t="shared" si="101"/>
        <v>21.77</v>
      </c>
      <c r="CO84" s="17">
        <f t="shared" si="102"/>
        <v>28.050000000000004</v>
      </c>
      <c r="CP84" s="38">
        <f t="shared" si="117"/>
        <v>32.520000000000003</v>
      </c>
      <c r="CQ84" s="17">
        <f t="shared" si="103"/>
        <v>38.800000000000011</v>
      </c>
      <c r="CR84" s="17">
        <f t="shared" si="104"/>
        <v>43.27000000000001</v>
      </c>
      <c r="CS84" s="17">
        <f t="shared" si="105"/>
        <v>49.550000000000011</v>
      </c>
      <c r="CT84" s="2" cm="1">
        <f t="array" aca="1" ref="CT84" ca="1">MAX(_xlfn._xlws.FILTER(CM84:CS84,CM84:CS84&lt;BO84))</f>
        <v>32.520000000000003</v>
      </c>
      <c r="CU84" s="2" cm="1">
        <f t="array" aca="1" ref="CU84" ca="1">MIN(_xlfn._xlws.FILTER($CM84:$CS84,$CM84:$CS84&gt;BO84))</f>
        <v>38.800000000000011</v>
      </c>
      <c r="CV84" s="16">
        <f t="shared" ca="1" si="119"/>
        <v>0.19311193111931146</v>
      </c>
      <c r="CW84" s="20">
        <f t="shared" ca="1" si="120"/>
        <v>-9.6555965559655732E-2</v>
      </c>
      <c r="CX84" s="20">
        <f t="shared" ca="1" si="121"/>
        <v>-6.437064370643715E-2</v>
      </c>
      <c r="CY84" s="20">
        <f t="shared" ca="1" si="122"/>
        <v>-3.8622386223862291E-2</v>
      </c>
      <c r="CZ84" s="20">
        <f t="shared" ca="1" si="123"/>
        <v>-2.145688123547905E-2</v>
      </c>
      <c r="DA84" s="20">
        <f t="shared" ca="1" si="124"/>
        <v>-1.1359525359959498E-2</v>
      </c>
      <c r="DB84" s="20">
        <f t="shared" ca="1" si="125"/>
        <v>-5.8518767005851955E-3</v>
      </c>
      <c r="DC84" s="20">
        <f t="shared" ca="1" si="126"/>
        <v>-2.9709527864509454E-3</v>
      </c>
      <c r="DD84" s="21">
        <f t="shared" ca="1" si="127"/>
        <v>2.9709527864509454E-3</v>
      </c>
      <c r="DE84" s="21">
        <f t="shared" ca="1" si="128"/>
        <v>5.8518767005851955E-3</v>
      </c>
      <c r="DF84" s="21">
        <f t="shared" ca="1" si="129"/>
        <v>1.1359525359959498E-2</v>
      </c>
      <c r="DG84" s="21">
        <f t="shared" ca="1" si="130"/>
        <v>2.145688123547905E-2</v>
      </c>
      <c r="DH84" s="21">
        <f t="shared" ca="1" si="131"/>
        <v>3.8622386223862291E-2</v>
      </c>
      <c r="DI84" s="21">
        <f t="shared" ca="1" si="132"/>
        <v>6.437064370643715E-2</v>
      </c>
      <c r="DJ84" s="21">
        <f t="shared" ca="1" si="133"/>
        <v>9.6555965559655732E-2</v>
      </c>
      <c r="DL84" s="16" cm="1">
        <f t="array" aca="1" ref="DL84" ca="1">MAX(_xlfn._xlws.FILTER(CW84:DJ84,CW84:DJ84&lt;BU84))</f>
        <v>5.8518767005851955E-3</v>
      </c>
      <c r="DM84" s="16" cm="1">
        <f t="array" aca="1" ref="DM84" ca="1">MIN(_xlfn._xlws.FILTER(CW84:DJ84,CW84:DJ84&gt;BU84))</f>
        <v>1.1359525359959498E-2</v>
      </c>
      <c r="DN84" s="2" cm="1">
        <f t="array" aca="1" ref="DN84" ca="1">_FV(EC84,"Fechamento anterior",TRUE)</f>
        <v>34.07</v>
      </c>
      <c r="DO84" s="28">
        <f t="shared" ca="1" si="106"/>
        <v>0.32309078442844286</v>
      </c>
      <c r="DP84" s="15">
        <f t="shared" ca="1" si="134"/>
        <v>34.269373439188939</v>
      </c>
      <c r="DQ84" s="15">
        <f t="shared" ca="1" si="135"/>
        <v>34.457019029013821</v>
      </c>
      <c r="DR84" s="9"/>
      <c r="DS84" s="9"/>
      <c r="DT84" s="9"/>
      <c r="DU84" s="89">
        <v>5.4816721221815894E-3</v>
      </c>
      <c r="DV84" s="89">
        <f t="shared" ca="1" si="107"/>
        <v>5.507648659374303E-3</v>
      </c>
      <c r="DW84" s="72">
        <f t="shared" ca="1" si="108"/>
        <v>0.14948736586171757</v>
      </c>
      <c r="DX84" s="37"/>
      <c r="DY84" s="35">
        <f t="shared" si="118"/>
        <v>0.76929578186806635</v>
      </c>
      <c r="DZ84" s="56"/>
      <c r="EA84" s="56"/>
      <c r="EC84" s="2" t="e" vm="84">
        <v>#VALUE!</v>
      </c>
      <c r="EE84" s="10" cm="1">
        <f t="array" aca="1" ref="EE84" ca="1">_FV(EC84,"Ações em circulação",TRUE)</f>
        <v>1254548000</v>
      </c>
      <c r="EF84" s="18">
        <f>VLOOKUP(BP84,Fundamentus!A:U,5,FALSE)</f>
        <v>0.92</v>
      </c>
      <c r="EG84" s="2">
        <f t="shared" ca="1" si="109"/>
        <v>46813731347.826088</v>
      </c>
      <c r="EH84" s="17">
        <v>3866814209.3304353</v>
      </c>
      <c r="EI84" s="17">
        <f t="shared" ca="1" si="110"/>
        <v>3866814209.3304353</v>
      </c>
      <c r="EK84" s="16">
        <f t="shared" ca="1" si="97"/>
        <v>0</v>
      </c>
      <c r="EL84" s="32" t="str">
        <f>IF(VLOOKUP(BP84,Fundamentus!A:U,3,FALSE)&lt;15,"Bom",IF(VLOOKUP(BP84,Fundamentus!A:U,3,FALSE)&gt;15,"Ruim","n/a"))</f>
        <v>Bom</v>
      </c>
      <c r="EM84" s="28" t="str">
        <f>IF(VLOOKUP(BP84,Fundamentus!A:U,4,FALSE)&lt;1,"Baixo",IF(VLOOKUP(BP84,Fundamentus!A:U,4,FALSE)&lt;1.5,"Moderado",IF(VLOOKUP(BP84,Fundamentus!A:U,4,FALSE)&gt;1.5,"Alto","n/a")))</f>
        <v>Alto</v>
      </c>
      <c r="EN84" s="17" t="str">
        <f>IF(VLOOKUP(BP84,Fundamentus!A:U,8,FALSE)&lt;0,"Risco elevado",IF(VLOOKUP(BP84,Fundamentus!A:U,8,FALSE)&lt;1,"Saudável",IF(VLOOKUP(BP84,Fundamentus!A:U,8,FALSE)&lt;3,"Estável",IF(VLOOKUP(BP84,Fundamentus!A:U,8,FALSE)&gt;3,"Alerta","n/a"))))</f>
        <v>Alerta</v>
      </c>
      <c r="EO84" s="28" t="str">
        <f t="shared" si="111"/>
        <v>Ruim</v>
      </c>
      <c r="EP84" s="17" t="str">
        <f>IF(VLOOKUP(BP84,Fundamentus!A:U,12,FALSE)&lt;2,"Subvalorizada",IF(VLOOKUP(BP84,Fundamentus!A:U,12,FALSE)&lt;6,"Muita barata",IF(VLOOKUP(BP84,Fundamentus!A:U,12,FALSE)&lt;6,"Barata",IF(VLOOKUP(BP84,Fundamentus!A:U,12,FALSE)&lt;8,"Atrativa",IF(VLOOKUP(BP84,Fundamentus!A:U,12,FALSE)&gt;8,"Supervalorizada","n/a")))))</f>
        <v>Atrativa</v>
      </c>
      <c r="ER84" s="17" t="str">
        <f>IF(VLOOKUP(BP84,Fundamentus!A:U,17,FALSE)&lt;0.1,"Fraco retorno",IF(VLOOKUP(BP84,Fundamentus!A:U,17,FALSE)&gt;0.1,"Bom retorno","n/a"))</f>
        <v>Bom retorno</v>
      </c>
      <c r="ES84" s="17" t="str">
        <f>IF(VLOOKUP(BP84,Fundamentus!A:U,16,FALSE)&lt;0.1,"Ineficiente",IF(VLOOKUP(BP84,Fundamentus!A:U,16,FALSE)&gt;0.1,"Eficiente","n/a"))</f>
        <v>Ineficiente</v>
      </c>
      <c r="ET84" s="33" t="str">
        <f>IF(VLOOKUP(BP84,Fundamentus!A:U,16,FALSE)&lt;0.1,"Oper. Ineficiente",IF(VLOOKUP(BP84,Fundamentus!A:U,16,FALSE)&gt;0.1,"Oper.Eficiente","n/a"))</f>
        <v>Oper. Ineficiente</v>
      </c>
      <c r="EU84" s="34">
        <f>VLOOKUP(BP84,Fundamentus!A:U,14,FALSE)</f>
        <v>8.2600000000000007E-2</v>
      </c>
      <c r="EV84" s="17" t="str">
        <f>IF(VLOOKUP(BP84,Fundamentus!A:U,21,FALSE)&lt;0,"Negativo",IF(VLOOKUP(BP84,Fundamentus!A:U,21,FALSE)&lt;0.05,"Fraco",IF(VLOOKUP(BP84,Fundamentus!A:U,21,FALSE)&lt;0.1,"Bom",IF(VLOOKUP(BP84,Fundamentus!A:U,21,FALSE)&gt;0.1,"Muito bom","n/a"))))</f>
        <v>Muito bom</v>
      </c>
      <c r="EX84" s="29" t="str">
        <f>IF(VLOOKUP(BP84,Fundamentus!A:U,15,FALSE)&gt;1,"Bom",IF(VLOOKUP(BP84,Fundamentus!A:U,15,FALSE)&lt;1,"Ruim","n/a"))</f>
        <v>Bom</v>
      </c>
      <c r="EY84" s="17" t="str">
        <f>IF(VLOOKUP(BP84,Fundamentus!A:U,20,FALSE)&lt;0.5,"Baixa",IF(VLOOKUP(BP84,Fundamentus!A:U,20,FALSE)&lt;1,"Moderada",IF(VLOOKUP(BP84,Fundamentus!A:U,20,FALSE)&lt;2,"Alerta",IF(VLOOKUP(BP84,Fundamentus!A:U,20,FALSE)&gt;2,"Alta","n/a"))))</f>
        <v>Alta</v>
      </c>
      <c r="EZ84" s="10"/>
    </row>
    <row r="85" spans="1:156" s="2" customFormat="1" ht="11.25" x14ac:dyDescent="0.2">
      <c r="A85" s="4">
        <v>19.760000000000002</v>
      </c>
      <c r="B85" s="4">
        <v>19.3</v>
      </c>
      <c r="C85" s="4">
        <v>19.91</v>
      </c>
      <c r="D85" s="4">
        <v>19.5</v>
      </c>
      <c r="E85" s="4">
        <v>18.89</v>
      </c>
      <c r="F85" s="4">
        <v>18.66</v>
      </c>
      <c r="G85" s="4">
        <v>18.25</v>
      </c>
      <c r="H85" s="4">
        <v>18.16</v>
      </c>
      <c r="I85" s="4">
        <v>18.670000000000002</v>
      </c>
      <c r="J85" s="4">
        <v>18.45</v>
      </c>
      <c r="K85" s="4">
        <v>19.2</v>
      </c>
      <c r="L85" s="4">
        <v>18.45</v>
      </c>
      <c r="M85" s="4">
        <v>18.170000000000002</v>
      </c>
      <c r="N85" s="4">
        <v>18.38</v>
      </c>
      <c r="O85" s="4">
        <v>18.7</v>
      </c>
      <c r="P85" s="4">
        <v>19.22</v>
      </c>
      <c r="Q85" s="4">
        <v>20.11</v>
      </c>
      <c r="R85" s="4">
        <v>19.899999999999999</v>
      </c>
      <c r="S85" s="4">
        <v>20.43</v>
      </c>
      <c r="T85" s="4">
        <v>19.66</v>
      </c>
      <c r="U85" s="4">
        <v>19.77</v>
      </c>
      <c r="V85" s="4">
        <v>19.920000000000002</v>
      </c>
      <c r="W85" s="4">
        <v>18.84</v>
      </c>
      <c r="X85" s="4">
        <v>18.899999999999999</v>
      </c>
      <c r="Y85" s="4">
        <v>19.21</v>
      </c>
      <c r="Z85" s="4">
        <v>19.05</v>
      </c>
      <c r="AA85" s="4">
        <v>19.100000000000001</v>
      </c>
      <c r="AB85" s="4">
        <v>19.47</v>
      </c>
      <c r="AC85" s="4">
        <v>19.100000000000001</v>
      </c>
      <c r="AD85" s="4">
        <v>19.95</v>
      </c>
      <c r="AE85" s="4">
        <v>19.399999999999999</v>
      </c>
      <c r="AF85" s="4">
        <v>19.78</v>
      </c>
      <c r="AG85" s="4">
        <v>20.3</v>
      </c>
      <c r="AH85" s="4">
        <v>19.12</v>
      </c>
      <c r="AI85" s="4">
        <v>19.02</v>
      </c>
      <c r="AJ85" s="4">
        <v>18.899999999999999</v>
      </c>
      <c r="AK85" s="4">
        <v>18.23</v>
      </c>
      <c r="AL85" s="4">
        <v>18.32</v>
      </c>
      <c r="AM85" s="4">
        <v>18.100000000000001</v>
      </c>
      <c r="AN85" s="4">
        <v>18.75</v>
      </c>
      <c r="AO85" s="4">
        <v>18.2</v>
      </c>
      <c r="AP85" s="4">
        <v>19.63</v>
      </c>
      <c r="AQ85" s="4">
        <v>19.77</v>
      </c>
      <c r="AR85" s="4">
        <v>19.45</v>
      </c>
      <c r="AS85" s="4">
        <v>19.87</v>
      </c>
      <c r="AT85" s="4">
        <v>20.64</v>
      </c>
      <c r="AU85" s="4">
        <v>21.03</v>
      </c>
      <c r="AV85" s="4">
        <v>20.89</v>
      </c>
      <c r="AW85" s="4">
        <v>20.49</v>
      </c>
      <c r="AX85" s="4">
        <v>20.47</v>
      </c>
      <c r="AY85" s="12">
        <v>20.94</v>
      </c>
      <c r="AZ85" s="12">
        <v>22.13</v>
      </c>
      <c r="BA85" s="12">
        <v>22.9</v>
      </c>
      <c r="BB85" s="15">
        <v>22.72</v>
      </c>
      <c r="BC85" s="52">
        <v>23.53</v>
      </c>
      <c r="BD85" s="52">
        <v>24.4</v>
      </c>
      <c r="BE85" s="52">
        <v>25.05</v>
      </c>
      <c r="BF85" s="52">
        <v>24.51</v>
      </c>
      <c r="BG85" s="67">
        <v>24.45</v>
      </c>
      <c r="BH85" s="52">
        <v>24.99</v>
      </c>
      <c r="BI85" s="52">
        <v>24.91</v>
      </c>
      <c r="BJ85" s="52">
        <v>25.96</v>
      </c>
      <c r="BK85" s="52">
        <v>24.23</v>
      </c>
      <c r="BL85" s="52">
        <v>23.5</v>
      </c>
      <c r="BM85" s="52">
        <v>23.8</v>
      </c>
      <c r="BN85" s="52">
        <v>24.76</v>
      </c>
      <c r="BO85" s="52" cm="1">
        <f t="array" aca="1" ref="BO85" ca="1">_FV(EC85,"Preço")</f>
        <v>24.76</v>
      </c>
      <c r="BP85" s="69" t="s">
        <v>82</v>
      </c>
      <c r="BQ85" s="36" cm="1">
        <f t="array" aca="1" ref="BQ85" ca="1">_FV(EC85,"Média de volume",TRUE)</f>
        <v>1187220</v>
      </c>
      <c r="BR85" s="36">
        <v>2376400</v>
      </c>
      <c r="BS85" s="36" cm="1">
        <f t="array" aca="1" ref="BS85" ca="1">_FV(EC85,"Volume")</f>
        <v>2376400</v>
      </c>
      <c r="BT85" s="24" cm="1">
        <f t="array" aca="1" ref="BT85" ca="1">_FV(EC85,"Beta")</f>
        <v>0.7339</v>
      </c>
      <c r="BU85" s="71" cm="1">
        <f t="array" aca="1" ref="BU85" ca="1">_FV(EC85,"Variação (%)",TRUE)</f>
        <v>1.0200000000000001E-2</v>
      </c>
      <c r="BW85" s="17" cm="1">
        <f t="array" aca="1" ref="BW85" ca="1">_FV(EC85,"Baixo")</f>
        <v>24.48</v>
      </c>
      <c r="BX85" s="17" cm="1">
        <f t="array" aca="1" ref="BX85" ca="1">_FV(EC85,"Alto")</f>
        <v>25.15</v>
      </c>
      <c r="BY85" s="24"/>
      <c r="BZ85" s="63">
        <f ca="1">SQRT(22.5*(BO85/VLOOKUP(BP85,Fundamentus!A:U,3,FALSE))*(BO85/VLOOKUP(BP85,Fundamentus!A:U,4,FALSE)))</f>
        <v>48.890433474658288</v>
      </c>
      <c r="CB85" s="62">
        <f t="shared" ca="1" si="112"/>
        <v>0</v>
      </c>
      <c r="CC85" s="8"/>
      <c r="CD85" s="61">
        <f t="shared" si="113"/>
        <v>18.100000000000001</v>
      </c>
      <c r="CE85" s="61">
        <f t="shared" si="114"/>
        <v>25.96</v>
      </c>
      <c r="CF85" s="61">
        <f t="shared" si="115"/>
        <v>20.427575757575763</v>
      </c>
      <c r="CG85" s="14"/>
      <c r="CH85" s="35">
        <f t="shared" si="98"/>
        <v>22.813041570937528</v>
      </c>
      <c r="CI85" s="15">
        <f t="shared" si="116"/>
        <v>24.544999999999845</v>
      </c>
      <c r="CJ85" s="35">
        <f t="shared" si="99"/>
        <v>26.276958429062162</v>
      </c>
      <c r="CL85" s="14"/>
      <c r="CM85" s="17">
        <f t="shared" si="100"/>
        <v>12.060000000000002</v>
      </c>
      <c r="CN85" s="17">
        <f t="shared" si="101"/>
        <v>15.080000000000002</v>
      </c>
      <c r="CO85" s="17">
        <f t="shared" si="102"/>
        <v>19.920000000000002</v>
      </c>
      <c r="CP85" s="38">
        <f t="shared" si="117"/>
        <v>22.94</v>
      </c>
      <c r="CQ85" s="17">
        <f t="shared" si="103"/>
        <v>27.78</v>
      </c>
      <c r="CR85" s="17">
        <f t="shared" si="104"/>
        <v>30.8</v>
      </c>
      <c r="CS85" s="17">
        <f t="shared" si="105"/>
        <v>35.64</v>
      </c>
      <c r="CT85" s="2" cm="1">
        <f t="array" aca="1" ref="CT85" ca="1">MAX(_xlfn._xlws.FILTER(CM85:CS85,CM85:CS85&lt;BO85))</f>
        <v>22.94</v>
      </c>
      <c r="CU85" s="2" cm="1">
        <f t="array" aca="1" ref="CU85" ca="1">MIN(_xlfn._xlws.FILTER($CM85:$CS85,$CM85:$CS85&gt;BO85))</f>
        <v>27.78</v>
      </c>
      <c r="CV85" s="16">
        <f t="shared" ca="1" si="119"/>
        <v>0.2109851787271142</v>
      </c>
      <c r="CW85" s="20">
        <f t="shared" ca="1" si="120"/>
        <v>-0.1054925893635571</v>
      </c>
      <c r="CX85" s="20">
        <f t="shared" ca="1" si="121"/>
        <v>-7.0328392909038071E-2</v>
      </c>
      <c r="CY85" s="20">
        <f t="shared" ca="1" si="122"/>
        <v>-4.2197035745422842E-2</v>
      </c>
      <c r="CZ85" s="20">
        <f t="shared" ca="1" si="123"/>
        <v>-2.3442797636346022E-2</v>
      </c>
      <c r="DA85" s="20">
        <f t="shared" ca="1" si="124"/>
        <v>-1.2410892866300835E-2</v>
      </c>
      <c r="DB85" s="20">
        <f t="shared" ca="1" si="125"/>
        <v>-6.3934902644580058E-3</v>
      </c>
      <c r="DC85" s="20">
        <f t="shared" ca="1" si="126"/>
        <v>-3.2459258265709876E-3</v>
      </c>
      <c r="DD85" s="21">
        <f t="shared" ca="1" si="127"/>
        <v>3.2459258265709876E-3</v>
      </c>
      <c r="DE85" s="21">
        <f t="shared" ca="1" si="128"/>
        <v>6.3934902644580058E-3</v>
      </c>
      <c r="DF85" s="21">
        <f t="shared" ca="1" si="129"/>
        <v>1.2410892866300835E-2</v>
      </c>
      <c r="DG85" s="21">
        <f t="shared" ca="1" si="130"/>
        <v>2.3442797636346022E-2</v>
      </c>
      <c r="DH85" s="21">
        <f t="shared" ca="1" si="131"/>
        <v>4.2197035745422842E-2</v>
      </c>
      <c r="DI85" s="21">
        <f t="shared" ca="1" si="132"/>
        <v>7.0328392909038071E-2</v>
      </c>
      <c r="DJ85" s="21">
        <f t="shared" ca="1" si="133"/>
        <v>0.1054925893635571</v>
      </c>
      <c r="DL85" s="16" cm="1">
        <f t="array" aca="1" ref="DL85" ca="1">MAX(_xlfn._xlws.FILTER(CW85:DJ85,CW85:DJ85&lt;BU85))</f>
        <v>6.3934902644580058E-3</v>
      </c>
      <c r="DM85" s="16" cm="1">
        <f t="array" aca="1" ref="DM85" ca="1">MIN(_xlfn._xlws.FILTER(CW85:DJ85,CW85:DJ85&gt;BU85))</f>
        <v>1.2410892866300835E-2</v>
      </c>
      <c r="DN85" s="2" cm="1">
        <f t="array" aca="1" ref="DN85" ca="1">_FV(EC85,"Fechamento anterior",TRUE)</f>
        <v>24.51</v>
      </c>
      <c r="DO85" s="28">
        <f t="shared" ca="1" si="106"/>
        <v>0.63256996216756889</v>
      </c>
      <c r="DP85" s="15">
        <f t="shared" ca="1" si="134"/>
        <v>24.666704446381868</v>
      </c>
      <c r="DQ85" s="15">
        <f t="shared" ca="1" si="135"/>
        <v>24.814190984153036</v>
      </c>
      <c r="DR85" s="9"/>
      <c r="DS85" s="9"/>
      <c r="DT85" s="9"/>
      <c r="DU85" s="89">
        <v>1.0262482731399243E-2</v>
      </c>
      <c r="DV85" s="89">
        <f t="shared" ca="1" si="107"/>
        <v>6.0174026018428289E-3</v>
      </c>
      <c r="DW85" s="72">
        <f t="shared" ca="1" si="108"/>
        <v>0.12413692868861598</v>
      </c>
      <c r="DX85" s="37"/>
      <c r="DY85" s="35">
        <f t="shared" si="118"/>
        <v>0.86597921453115756</v>
      </c>
      <c r="DZ85" s="56"/>
      <c r="EA85" s="56"/>
      <c r="EC85" s="2" t="e" vm="85">
        <v>#VALUE!</v>
      </c>
      <c r="EE85" s="10" cm="1">
        <f t="array" aca="1" ref="EE85" ca="1">_FV(EC85,"Ações em circulação",TRUE)</f>
        <v>1213797000</v>
      </c>
      <c r="EF85" s="18">
        <f>VLOOKUP(BP85,Fundamentus!A:U,5,FALSE)</f>
        <v>0.58299999999999996</v>
      </c>
      <c r="EG85" s="2">
        <f t="shared" ca="1" si="109"/>
        <v>51549937770.154381</v>
      </c>
      <c r="EH85" s="17">
        <v>4397209691.7941685</v>
      </c>
      <c r="EI85" s="17">
        <f t="shared" ca="1" si="110"/>
        <v>4397209691.7941685</v>
      </c>
      <c r="EK85" s="16">
        <f t="shared" ca="1" si="97"/>
        <v>0</v>
      </c>
      <c r="EL85" s="32" t="str">
        <f>IF(VLOOKUP(BP85,Fundamentus!A:U,3,FALSE)&lt;15,"Bom",IF(VLOOKUP(BP85,Fundamentus!A:U,3,FALSE)&gt;15,"Ruim","n/a"))</f>
        <v>Bom</v>
      </c>
      <c r="EM85" s="28" t="str">
        <f>IF(VLOOKUP(BP85,Fundamentus!A:U,4,FALSE)&lt;1,"Baixo",IF(VLOOKUP(BP85,Fundamentus!A:U,4,FALSE)&lt;1.5,"Moderado",IF(VLOOKUP(BP85,Fundamentus!A:U,4,FALSE)&gt;1.5,"Alto","n/a")))</f>
        <v>Baixo</v>
      </c>
      <c r="EN85" s="17" t="str">
        <f>IF(VLOOKUP(BP85,Fundamentus!A:U,8,FALSE)&lt;0,"Risco elevado",IF(VLOOKUP(BP85,Fundamentus!A:U,8,FALSE)&lt;1,"Saudável",IF(VLOOKUP(BP85,Fundamentus!A:U,8,FALSE)&lt;3,"Estável",IF(VLOOKUP(BP85,Fundamentus!A:U,8,FALSE)&gt;3,"Alerta","n/a"))))</f>
        <v>Alerta</v>
      </c>
      <c r="EO85" s="28" t="str">
        <f t="shared" si="111"/>
        <v>Ruim</v>
      </c>
      <c r="EP85" s="17" t="str">
        <f>IF(VLOOKUP(BP85,Fundamentus!A:U,12,FALSE)&lt;2,"Subvalorizada",IF(VLOOKUP(BP85,Fundamentus!A:U,12,FALSE)&lt;6,"Muita barata",IF(VLOOKUP(BP85,Fundamentus!A:U,12,FALSE)&lt;6,"Barata",IF(VLOOKUP(BP85,Fundamentus!A:U,12,FALSE)&lt;8,"Atrativa",IF(VLOOKUP(BP85,Fundamentus!A:U,12,FALSE)&gt;8,"Supervalorizada","n/a")))))</f>
        <v>Muita barata</v>
      </c>
      <c r="ER85" s="17" t="str">
        <f>IF(VLOOKUP(BP85,Fundamentus!A:U,17,FALSE)&lt;0.1,"Fraco retorno",IF(VLOOKUP(BP85,Fundamentus!A:U,17,FALSE)&gt;0.1,"Bom retorno","n/a"))</f>
        <v>Bom retorno</v>
      </c>
      <c r="ES85" s="17" t="str">
        <f>IF(VLOOKUP(BP85,Fundamentus!A:U,16,FALSE)&lt;0.1,"Ineficiente",IF(VLOOKUP(BP85,Fundamentus!A:U,16,FALSE)&gt;0.1,"Eficiente","n/a"))</f>
        <v>Eficiente</v>
      </c>
      <c r="ET85" s="33" t="str">
        <f>IF(VLOOKUP(BP85,Fundamentus!A:U,16,FALSE)&lt;0.1,"Oper. Ineficiente",IF(VLOOKUP(BP85,Fundamentus!A:U,16,FALSE)&gt;0.1,"Oper.Eficiente","n/a"))</f>
        <v>Oper.Eficiente</v>
      </c>
      <c r="EU85" s="34">
        <f>VLOOKUP(BP85,Fundamentus!A:U,14,FALSE)</f>
        <v>8.5300000000000001E-2</v>
      </c>
      <c r="EV85" s="17" t="str">
        <f>IF(VLOOKUP(BP85,Fundamentus!A:U,21,FALSE)&lt;0,"Negativo",IF(VLOOKUP(BP85,Fundamentus!A:U,21,FALSE)&lt;0.05,"Fraco",IF(VLOOKUP(BP85,Fundamentus!A:U,21,FALSE)&lt;0.1,"Bom",IF(VLOOKUP(BP85,Fundamentus!A:U,21,FALSE)&gt;0.1,"Muito bom","n/a"))))</f>
        <v>Bom</v>
      </c>
      <c r="EX85" s="29" t="str">
        <f>IF(VLOOKUP(BP85,Fundamentus!A:U,15,FALSE)&gt;1,"Bom",IF(VLOOKUP(BP85,Fundamentus!A:U,15,FALSE)&lt;1,"Ruim","n/a"))</f>
        <v>Bom</v>
      </c>
      <c r="EY85" s="17" t="str">
        <f>IF(VLOOKUP(BP85,Fundamentus!A:U,20,FALSE)&lt;0.5,"Baixa",IF(VLOOKUP(BP85,Fundamentus!A:U,20,FALSE)&lt;1,"Moderada",IF(VLOOKUP(BP85,Fundamentus!A:U,20,FALSE)&lt;2,"Alerta",IF(VLOOKUP(BP85,Fundamentus!A:U,20,FALSE)&gt;2,"Alta","n/a"))))</f>
        <v>Alerta</v>
      </c>
      <c r="EZ85" s="10"/>
    </row>
    <row r="86" spans="1:156" s="2" customFormat="1" ht="11.25" x14ac:dyDescent="0.2">
      <c r="A86" s="4">
        <v>10.01</v>
      </c>
      <c r="B86" s="4">
        <v>9.6300000000000008</v>
      </c>
      <c r="C86" s="4">
        <v>9.99</v>
      </c>
      <c r="D86" s="4">
        <v>9.16</v>
      </c>
      <c r="E86" s="4">
        <v>9</v>
      </c>
      <c r="F86" s="4">
        <v>8.9700000000000006</v>
      </c>
      <c r="G86" s="4">
        <v>8.75</v>
      </c>
      <c r="H86" s="4">
        <v>8.5500000000000007</v>
      </c>
      <c r="I86" s="4">
        <v>7.85</v>
      </c>
      <c r="J86" s="4">
        <v>8.57</v>
      </c>
      <c r="K86" s="4">
        <v>8.24</v>
      </c>
      <c r="L86" s="4">
        <v>7.4</v>
      </c>
      <c r="M86" s="4">
        <v>7</v>
      </c>
      <c r="N86" s="4">
        <v>7.1</v>
      </c>
      <c r="O86" s="4">
        <v>7.08</v>
      </c>
      <c r="P86" s="4">
        <v>6.75</v>
      </c>
      <c r="Q86" s="4">
        <v>6.83</v>
      </c>
      <c r="R86" s="4">
        <v>6.53</v>
      </c>
      <c r="S86" s="4">
        <v>6.3</v>
      </c>
      <c r="T86" s="4">
        <v>6.14</v>
      </c>
      <c r="U86" s="4">
        <v>5.65</v>
      </c>
      <c r="V86" s="4">
        <v>5.88</v>
      </c>
      <c r="W86" s="4">
        <v>5.93</v>
      </c>
      <c r="X86" s="4">
        <v>5.91</v>
      </c>
      <c r="Y86" s="4">
        <v>6.08</v>
      </c>
      <c r="Z86" s="4">
        <v>6.46</v>
      </c>
      <c r="AA86" s="4">
        <v>6.06</v>
      </c>
      <c r="AB86" s="4">
        <v>5.9</v>
      </c>
      <c r="AC86" s="4">
        <v>5.63</v>
      </c>
      <c r="AD86" s="4">
        <v>5.89</v>
      </c>
      <c r="AE86" s="4">
        <v>5.22</v>
      </c>
      <c r="AF86" s="4">
        <v>5.09</v>
      </c>
      <c r="AG86" s="4">
        <v>5.0999999999999996</v>
      </c>
      <c r="AH86" s="4">
        <v>5</v>
      </c>
      <c r="AI86" s="4">
        <v>5.07</v>
      </c>
      <c r="AJ86" s="4">
        <v>5.08</v>
      </c>
      <c r="AK86" s="4">
        <v>5.0199999999999996</v>
      </c>
      <c r="AL86" s="4">
        <v>5.48</v>
      </c>
      <c r="AM86" s="4">
        <v>5.45</v>
      </c>
      <c r="AN86" s="4">
        <v>5.71</v>
      </c>
      <c r="AO86" s="4">
        <v>5.43</v>
      </c>
      <c r="AP86" s="4">
        <v>5.78</v>
      </c>
      <c r="AQ86" s="4">
        <v>5.35</v>
      </c>
      <c r="AR86" s="4">
        <v>5</v>
      </c>
      <c r="AS86" s="4">
        <v>5.28</v>
      </c>
      <c r="AT86" s="4">
        <v>5.38</v>
      </c>
      <c r="AU86" s="4">
        <v>5.3949999999999996</v>
      </c>
      <c r="AV86" s="4">
        <v>5.22</v>
      </c>
      <c r="AW86" s="4">
        <v>4.96</v>
      </c>
      <c r="AX86" s="4">
        <v>4.97</v>
      </c>
      <c r="AY86" s="12">
        <v>5.42</v>
      </c>
      <c r="AZ86" s="12">
        <v>5.94</v>
      </c>
      <c r="BA86" s="12">
        <v>6.15</v>
      </c>
      <c r="BB86" s="15">
        <v>5.61</v>
      </c>
      <c r="BC86" s="52">
        <v>5.12</v>
      </c>
      <c r="BD86" s="52">
        <v>4.93</v>
      </c>
      <c r="BE86" s="52">
        <v>4.72</v>
      </c>
      <c r="BF86" s="52">
        <v>4.42</v>
      </c>
      <c r="BG86" s="67">
        <v>4.46</v>
      </c>
      <c r="BH86" s="52">
        <v>4.28</v>
      </c>
      <c r="BI86" s="52">
        <v>4.41</v>
      </c>
      <c r="BJ86" s="52">
        <v>4.67</v>
      </c>
      <c r="BK86" s="52">
        <v>4.62</v>
      </c>
      <c r="BL86" s="52">
        <v>4.3899999999999997</v>
      </c>
      <c r="BM86" s="52">
        <v>4.2</v>
      </c>
      <c r="BN86" s="52">
        <v>3.97</v>
      </c>
      <c r="BO86" s="52" cm="1">
        <f t="array" aca="1" ref="BO86" ca="1">_FV(EC86,"Preço")</f>
        <v>3.97</v>
      </c>
      <c r="BP86" s="69" t="s">
        <v>83</v>
      </c>
      <c r="BQ86" s="36" cm="1">
        <f t="array" aca="1" ref="BQ86" ca="1">_FV(EC86,"Média de volume",TRUE)</f>
        <v>993550</v>
      </c>
      <c r="BR86" s="36">
        <v>1403800</v>
      </c>
      <c r="BS86" s="36" cm="1">
        <f t="array" aca="1" ref="BS86" ca="1">_FV(EC86,"Volume")</f>
        <v>1403800</v>
      </c>
      <c r="BT86" s="24" cm="1">
        <f t="array" aca="1" ref="BT86" ca="1">_FV(EC86,"Beta")</f>
        <v>1.8911</v>
      </c>
      <c r="BU86" s="71" cm="1">
        <f t="array" aca="1" ref="BU86" ca="1">_FV(EC86,"Variação (%)",TRUE)</f>
        <v>0</v>
      </c>
      <c r="BW86" s="17" cm="1">
        <f t="array" aca="1" ref="BW86" ca="1">_FV(EC86,"Baixo")</f>
        <v>3.9</v>
      </c>
      <c r="BX86" s="17" cm="1">
        <f t="array" aca="1" ref="BX86" ca="1">_FV(EC86,"Alto")</f>
        <v>4.05</v>
      </c>
      <c r="BY86" s="24"/>
      <c r="BZ86" s="63">
        <f ca="1">SQRT(22.5*(BO86/VLOOKUP(BP86,Fundamentus!A:U,3,FALSE))*(BO86/VLOOKUP(BP86,Fundamentus!A:U,4,FALSE)))</f>
        <v>2.1154642766293055</v>
      </c>
      <c r="CB86" s="62">
        <f t="shared" ca="1" si="112"/>
        <v>0</v>
      </c>
      <c r="CC86" s="8"/>
      <c r="CD86" s="61">
        <f t="shared" si="113"/>
        <v>3.97</v>
      </c>
      <c r="CE86" s="61">
        <f t="shared" si="114"/>
        <v>10.01</v>
      </c>
      <c r="CF86" s="61">
        <f t="shared" si="115"/>
        <v>6.0838636363636365</v>
      </c>
      <c r="CG86" s="14"/>
      <c r="CH86" s="35">
        <f t="shared" si="98"/>
        <v>3.2370850929644392</v>
      </c>
      <c r="CI86" s="15">
        <f t="shared" si="116"/>
        <v>3.7599999999999909</v>
      </c>
      <c r="CJ86" s="35">
        <f t="shared" si="99"/>
        <v>4.2829149070355426</v>
      </c>
      <c r="CL86" s="14"/>
      <c r="CM86" s="17">
        <f t="shared" si="100"/>
        <v>-4.0833333333333321</v>
      </c>
      <c r="CN86" s="17">
        <f t="shared" si="101"/>
        <v>-5.6666666666665755E-2</v>
      </c>
      <c r="CO86" s="17">
        <f t="shared" si="102"/>
        <v>1.956666666666667</v>
      </c>
      <c r="CP86" s="38">
        <f t="shared" si="117"/>
        <v>5.9833333333333334</v>
      </c>
      <c r="CQ86" s="17">
        <f t="shared" si="103"/>
        <v>7.9966666666666661</v>
      </c>
      <c r="CR86" s="17">
        <f t="shared" si="104"/>
        <v>12.023333333333333</v>
      </c>
      <c r="CS86" s="17">
        <f t="shared" si="105"/>
        <v>14.036666666666665</v>
      </c>
      <c r="CT86" s="2" cm="1">
        <f t="array" aca="1" ref="CT86" ca="1">MAX(_xlfn._xlws.FILTER(CM86:CS86,CM86:CS86&lt;BO86))</f>
        <v>1.956666666666667</v>
      </c>
      <c r="CU86" s="2" cm="1">
        <f t="array" aca="1" ref="CU86" ca="1">MIN(_xlfn._xlws.FILTER($CM86:$CS86,$CM86:$CS86&gt;BO86))</f>
        <v>5.9833333333333334</v>
      </c>
      <c r="CV86" s="16">
        <f t="shared" ca="1" si="119"/>
        <v>2.0579216354344116</v>
      </c>
      <c r="CW86" s="20">
        <f t="shared" ca="1" si="120"/>
        <v>-1.0289608177172058</v>
      </c>
      <c r="CX86" s="20">
        <f t="shared" ca="1" si="121"/>
        <v>-0.68597387847813718</v>
      </c>
      <c r="CY86" s="20">
        <f t="shared" ca="1" si="122"/>
        <v>-0.41158432708688231</v>
      </c>
      <c r="CZ86" s="20">
        <f t="shared" ca="1" si="123"/>
        <v>-0.22865795949271239</v>
      </c>
      <c r="DA86" s="20">
        <f t="shared" ca="1" si="124"/>
        <v>-0.12105421384908303</v>
      </c>
      <c r="DB86" s="20">
        <f t="shared" ca="1" si="125"/>
        <v>-6.2361261679830658E-2</v>
      </c>
      <c r="DC86" s="20">
        <f t="shared" ca="1" si="126"/>
        <v>-3.1660332852837099E-2</v>
      </c>
      <c r="DD86" s="21">
        <f t="shared" ca="1" si="127"/>
        <v>3.1660332852837099E-2</v>
      </c>
      <c r="DE86" s="21">
        <f t="shared" ca="1" si="128"/>
        <v>6.2361261679830658E-2</v>
      </c>
      <c r="DF86" s="21">
        <f t="shared" ca="1" si="129"/>
        <v>0.12105421384908303</v>
      </c>
      <c r="DG86" s="21">
        <f t="shared" ca="1" si="130"/>
        <v>0.22865795949271239</v>
      </c>
      <c r="DH86" s="21">
        <f t="shared" ca="1" si="131"/>
        <v>0.41158432708688231</v>
      </c>
      <c r="DI86" s="21">
        <f t="shared" ca="1" si="132"/>
        <v>0.68597387847813718</v>
      </c>
      <c r="DJ86" s="21">
        <f t="shared" ca="1" si="133"/>
        <v>1.0289608177172058</v>
      </c>
      <c r="DL86" s="16" cm="1">
        <f t="array" aca="1" ref="DL86" ca="1">MAX(_xlfn._xlws.FILTER(CW86:DJ86,CW86:DJ86&lt;BU86))</f>
        <v>-3.1660332852837099E-2</v>
      </c>
      <c r="DM86" s="16" cm="1">
        <f t="array" aca="1" ref="DM86" ca="1">MIN(_xlfn._xlws.FILTER(CW86:DJ86,CW86:DJ86&gt;BU86))</f>
        <v>3.1660332852837099E-2</v>
      </c>
      <c r="DN86" s="2" cm="1">
        <f t="array" aca="1" ref="DN86" ca="1">_FV(EC86,"Fechamento anterior",TRUE)</f>
        <v>3.97</v>
      </c>
      <c r="DO86" s="28">
        <f t="shared" ca="1" si="106"/>
        <v>0.5</v>
      </c>
      <c r="DP86" s="15">
        <f t="shared" ca="1" si="134"/>
        <v>3.844308478574237</v>
      </c>
      <c r="DQ86" s="15">
        <f t="shared" ca="1" si="135"/>
        <v>4.0956915214257634</v>
      </c>
      <c r="DR86" s="9"/>
      <c r="DS86" s="9"/>
      <c r="DT86" s="9"/>
      <c r="DU86" s="89">
        <v>4.9050531058899241E-2</v>
      </c>
      <c r="DV86" s="89">
        <f t="shared" ca="1" si="107"/>
        <v>6.3320665705674198E-2</v>
      </c>
      <c r="DW86" s="72">
        <f t="shared" ca="1" si="108"/>
        <v>0.40159497687781909</v>
      </c>
      <c r="DX86" s="37"/>
      <c r="DY86" s="35">
        <f t="shared" si="118"/>
        <v>0.26145745351777588</v>
      </c>
      <c r="DZ86" s="56"/>
      <c r="EA86" s="56"/>
      <c r="EC86" s="2" t="e" vm="86">
        <v>#VALUE!</v>
      </c>
      <c r="EE86" s="10" cm="1">
        <f t="array" aca="1" ref="EE86" ca="1">_FV(EC86,"Ações em circulação",TRUE)</f>
        <v>141800000</v>
      </c>
      <c r="EF86" s="18">
        <f>VLOOKUP(BP86,Fundamentus!A:U,5,FALSE)</f>
        <v>0.17899999999999999</v>
      </c>
      <c r="EG86" s="2">
        <f t="shared" ca="1" si="109"/>
        <v>3144949720.6703911</v>
      </c>
      <c r="EH86" s="17">
        <v>7547879.3296089377</v>
      </c>
      <c r="EI86" s="17">
        <f t="shared" ca="1" si="110"/>
        <v>7547879.3296089377</v>
      </c>
      <c r="EK86" s="16">
        <f t="shared" ca="1" si="97"/>
        <v>0</v>
      </c>
      <c r="EL86" s="32" t="str">
        <f>IF(VLOOKUP(BP86,Fundamentus!A:U,3,FALSE)&lt;15,"Bom",IF(VLOOKUP(BP86,Fundamentus!A:U,3,FALSE)&gt;15,"Ruim","n/a"))</f>
        <v>Ruim</v>
      </c>
      <c r="EM86" s="28" t="str">
        <f>IF(VLOOKUP(BP86,Fundamentus!A:U,4,FALSE)&lt;1,"Baixo",IF(VLOOKUP(BP86,Fundamentus!A:U,4,FALSE)&lt;1.5,"Moderado",IF(VLOOKUP(BP86,Fundamentus!A:U,4,FALSE)&gt;1.5,"Alto","n/a")))</f>
        <v>Baixo</v>
      </c>
      <c r="EN86" s="17" t="str">
        <f>IF(VLOOKUP(BP86,Fundamentus!A:U,8,FALSE)&lt;0,"Risco elevado",IF(VLOOKUP(BP86,Fundamentus!A:U,8,FALSE)&lt;1,"Saudável",IF(VLOOKUP(BP86,Fundamentus!A:U,8,FALSE)&lt;3,"Estável",IF(VLOOKUP(BP86,Fundamentus!A:U,8,FALSE)&gt;3,"Alerta","n/a"))))</f>
        <v>Saudável</v>
      </c>
      <c r="EO86" s="28" t="str">
        <f t="shared" si="111"/>
        <v>Ruim</v>
      </c>
      <c r="EP86" s="17" t="str">
        <f>IF(VLOOKUP(BP86,Fundamentus!A:U,12,FALSE)&lt;2,"Subvalorizada",IF(VLOOKUP(BP86,Fundamentus!A:U,12,FALSE)&lt;6,"Muita barata",IF(VLOOKUP(BP86,Fundamentus!A:U,12,FALSE)&lt;6,"Barata",IF(VLOOKUP(BP86,Fundamentus!A:U,12,FALSE)&lt;8,"Atrativa",IF(VLOOKUP(BP86,Fundamentus!A:U,12,FALSE)&gt;8,"Supervalorizada","n/a")))))</f>
        <v>Muita barata</v>
      </c>
      <c r="ER86" s="17" t="str">
        <f>IF(VLOOKUP(BP86,Fundamentus!A:U,17,FALSE)&lt;0.1,"Fraco retorno",IF(VLOOKUP(BP86,Fundamentus!A:U,17,FALSE)&gt;0.1,"Bom retorno","n/a"))</f>
        <v>Fraco retorno</v>
      </c>
      <c r="ES86" s="17" t="str">
        <f>IF(VLOOKUP(BP86,Fundamentus!A:U,16,FALSE)&lt;0.1,"Ineficiente",IF(VLOOKUP(BP86,Fundamentus!A:U,16,FALSE)&gt;0.1,"Eficiente","n/a"))</f>
        <v>Ineficiente</v>
      </c>
      <c r="ET86" s="33" t="str">
        <f>IF(VLOOKUP(BP86,Fundamentus!A:U,16,FALSE)&lt;0.1,"Oper. Ineficiente",IF(VLOOKUP(BP86,Fundamentus!A:U,16,FALSE)&gt;0.1,"Oper.Eficiente","n/a"))</f>
        <v>Oper. Ineficiente</v>
      </c>
      <c r="EU86" s="34">
        <f>VLOOKUP(BP86,Fundamentus!A:U,14,FALSE)</f>
        <v>2.3999999999999998E-3</v>
      </c>
      <c r="EV86" s="17" t="str">
        <f>IF(VLOOKUP(BP86,Fundamentus!A:U,21,FALSE)&lt;0,"Negativo",IF(VLOOKUP(BP86,Fundamentus!A:U,21,FALSE)&lt;0.05,"Fraco",IF(VLOOKUP(BP86,Fundamentus!A:U,21,FALSE)&lt;0.1,"Bom",IF(VLOOKUP(BP86,Fundamentus!A:U,21,FALSE)&gt;0.1,"Muito bom","n/a"))))</f>
        <v>Bom</v>
      </c>
      <c r="EX86" s="29" t="str">
        <f>IF(VLOOKUP(BP86,Fundamentus!A:U,15,FALSE)&gt;1,"Bom",IF(VLOOKUP(BP86,Fundamentus!A:U,15,FALSE)&lt;1,"Ruim","n/a"))</f>
        <v>Bom</v>
      </c>
      <c r="EY86" s="17" t="str">
        <f>IF(VLOOKUP(BP86,Fundamentus!A:U,20,FALSE)&lt;0.5,"Baixa",IF(VLOOKUP(BP86,Fundamentus!A:U,20,FALSE)&lt;1,"Moderada",IF(VLOOKUP(BP86,Fundamentus!A:U,20,FALSE)&lt;2,"Alerta",IF(VLOOKUP(BP86,Fundamentus!A:U,20,FALSE)&gt;2,"Alta","n/a"))))</f>
        <v>Moderada</v>
      </c>
      <c r="EZ86" s="10"/>
    </row>
    <row r="87" spans="1:156" s="2" customFormat="1" ht="11.25" x14ac:dyDescent="0.2">
      <c r="A87" s="4">
        <v>1.2</v>
      </c>
      <c r="B87" s="4">
        <v>1.17</v>
      </c>
      <c r="C87" s="4">
        <v>1.08</v>
      </c>
      <c r="D87" s="4">
        <v>1.1100000000000001</v>
      </c>
      <c r="E87" s="4">
        <v>1.05</v>
      </c>
      <c r="F87" s="4">
        <v>1</v>
      </c>
      <c r="G87" s="4">
        <v>0.98</v>
      </c>
      <c r="H87" s="4">
        <v>0.9</v>
      </c>
      <c r="I87" s="4">
        <v>0.87</v>
      </c>
      <c r="J87" s="4">
        <v>0.94</v>
      </c>
      <c r="K87" s="4">
        <v>0.92</v>
      </c>
      <c r="L87" s="4">
        <v>0.88</v>
      </c>
      <c r="M87" s="4">
        <v>0.85</v>
      </c>
      <c r="N87" s="4">
        <v>0.88</v>
      </c>
      <c r="O87" s="4">
        <v>0.91</v>
      </c>
      <c r="P87" s="4">
        <v>0.9</v>
      </c>
      <c r="Q87" s="4">
        <v>0.93</v>
      </c>
      <c r="R87" s="4">
        <v>0.9</v>
      </c>
      <c r="S87" s="4">
        <v>0.89</v>
      </c>
      <c r="T87" s="4">
        <v>0.87</v>
      </c>
      <c r="U87" s="4">
        <v>0.84</v>
      </c>
      <c r="V87" s="4">
        <v>0.84</v>
      </c>
      <c r="W87" s="4">
        <v>0.83</v>
      </c>
      <c r="X87" s="4">
        <v>0.79</v>
      </c>
      <c r="Y87" s="4">
        <v>0.8</v>
      </c>
      <c r="Z87" s="4">
        <v>0.8</v>
      </c>
      <c r="AA87" s="4">
        <v>0.78</v>
      </c>
      <c r="AB87" s="4">
        <v>0.78</v>
      </c>
      <c r="AC87" s="4">
        <v>0.7</v>
      </c>
      <c r="AD87" s="4">
        <v>0.69</v>
      </c>
      <c r="AE87" s="4">
        <v>0.59</v>
      </c>
      <c r="AF87" s="4">
        <v>0.59</v>
      </c>
      <c r="AG87" s="4">
        <v>0.57999999999999996</v>
      </c>
      <c r="AH87" s="4">
        <v>0.51</v>
      </c>
      <c r="AI87" s="4">
        <v>0.5</v>
      </c>
      <c r="AJ87" s="4">
        <v>0.5</v>
      </c>
      <c r="AK87" s="4">
        <v>0.52</v>
      </c>
      <c r="AL87" s="4">
        <v>4.75</v>
      </c>
      <c r="AM87" s="4">
        <v>4.55</v>
      </c>
      <c r="AN87" s="4">
        <v>4.75</v>
      </c>
      <c r="AO87" s="4">
        <v>5.09</v>
      </c>
      <c r="AP87" s="4">
        <v>4.95</v>
      </c>
      <c r="AQ87" s="4">
        <v>5.3</v>
      </c>
      <c r="AR87" s="4">
        <v>5.14</v>
      </c>
      <c r="AS87" s="4">
        <v>5.18</v>
      </c>
      <c r="AT87" s="4">
        <v>4.97</v>
      </c>
      <c r="AU87" s="4">
        <v>5.04</v>
      </c>
      <c r="AV87" s="4">
        <v>5.5</v>
      </c>
      <c r="AW87" s="4">
        <v>5.25</v>
      </c>
      <c r="AX87" s="4">
        <v>5.05</v>
      </c>
      <c r="AY87" s="12">
        <v>4.91</v>
      </c>
      <c r="AZ87" s="12">
        <v>5.05</v>
      </c>
      <c r="BA87" s="12">
        <v>4.5</v>
      </c>
      <c r="BB87" s="15">
        <v>4.8</v>
      </c>
      <c r="BC87" s="52">
        <v>4.67</v>
      </c>
      <c r="BD87" s="52">
        <v>4.33</v>
      </c>
      <c r="BE87" s="52">
        <v>4.3600000000000003</v>
      </c>
      <c r="BF87" s="52">
        <v>4.2</v>
      </c>
      <c r="BG87" s="67">
        <v>4.25</v>
      </c>
      <c r="BH87" s="52">
        <v>4.24</v>
      </c>
      <c r="BI87" s="52">
        <v>3.6</v>
      </c>
      <c r="BJ87" s="52">
        <v>3.67</v>
      </c>
      <c r="BK87" s="52">
        <v>3.57</v>
      </c>
      <c r="BL87" s="52">
        <v>3.63</v>
      </c>
      <c r="BM87" s="52">
        <v>3.58</v>
      </c>
      <c r="BN87" s="52">
        <v>4.24</v>
      </c>
      <c r="BO87" s="52" cm="1">
        <f t="array" aca="1" ref="BO87" ca="1">_FV(EC87,"Preço")</f>
        <v>4.24</v>
      </c>
      <c r="BP87" s="69" t="s">
        <v>84</v>
      </c>
      <c r="BQ87" s="36" cm="1">
        <f t="array" aca="1" ref="BQ87" ca="1">_FV(EC87,"Média de volume",TRUE)</f>
        <v>7600</v>
      </c>
      <c r="BR87" s="36">
        <v>27500</v>
      </c>
      <c r="BS87" s="36" cm="1">
        <f t="array" aca="1" ref="BS87" ca="1">_FV(EC87,"Volume")</f>
        <v>27500</v>
      </c>
      <c r="BT87" s="24" cm="1">
        <f t="array" aca="1" ref="BT87" ca="1">_FV(EC87,"Beta")</f>
        <v>1.0882000000000001</v>
      </c>
      <c r="BU87" s="71" cm="1">
        <f t="array" aca="1" ref="BU87" ca="1">_FV(EC87,"Variação (%)",TRUE)</f>
        <v>9.2783999999999991E-2</v>
      </c>
      <c r="BW87" s="17" cm="1">
        <f t="array" aca="1" ref="BW87" ca="1">_FV(EC87,"Baixo")</f>
        <v>3.79</v>
      </c>
      <c r="BX87" s="17" cm="1">
        <f t="array" aca="1" ref="BX87" ca="1">_FV(EC87,"Alto")</f>
        <v>4.24</v>
      </c>
      <c r="BY87" s="24"/>
      <c r="BZ87" s="63" t="e">
        <f ca="1">SQRT(22.5*(BO87/VLOOKUP(BP87,Fundamentus!A:U,3,FALSE))*(BO87/VLOOKUP(BP87,Fundamentus!A:U,4,FALSE)))</f>
        <v>#NUM!</v>
      </c>
      <c r="CB87" s="62">
        <f t="shared" ca="1" si="112"/>
        <v>0</v>
      </c>
      <c r="CC87" s="8"/>
      <c r="CD87" s="61">
        <f t="shared" si="113"/>
        <v>0.5</v>
      </c>
      <c r="CE87" s="61">
        <f t="shared" si="114"/>
        <v>5.5</v>
      </c>
      <c r="CF87" s="61">
        <f t="shared" si="115"/>
        <v>2.4846969696969698</v>
      </c>
      <c r="CG87" s="14"/>
      <c r="CH87" s="35">
        <f t="shared" si="98"/>
        <v>3.7378668813813474</v>
      </c>
      <c r="CI87" s="15">
        <f t="shared" si="116"/>
        <v>4.2450000000001182</v>
      </c>
      <c r="CJ87" s="35">
        <f t="shared" si="99"/>
        <v>4.7521331186188887</v>
      </c>
      <c r="CL87" s="14"/>
      <c r="CM87" s="17">
        <f t="shared" si="100"/>
        <v>-3.6733333333333329</v>
      </c>
      <c r="CN87" s="17">
        <f t="shared" si="101"/>
        <v>-1.5866666666666664</v>
      </c>
      <c r="CO87" s="17">
        <f t="shared" si="102"/>
        <v>1.3266666666666671</v>
      </c>
      <c r="CP87" s="38">
        <f t="shared" si="117"/>
        <v>3.4133333333333336</v>
      </c>
      <c r="CQ87" s="17">
        <f t="shared" si="103"/>
        <v>6.3266666666666671</v>
      </c>
      <c r="CR87" s="17">
        <f t="shared" si="104"/>
        <v>8.413333333333334</v>
      </c>
      <c r="CS87" s="17">
        <f t="shared" si="105"/>
        <v>11.326666666666668</v>
      </c>
      <c r="CT87" s="2" cm="1">
        <f t="array" aca="1" ref="CT87" ca="1">MAX(_xlfn._xlws.FILTER(CM87:CS87,CM87:CS87&lt;BO87))</f>
        <v>3.4133333333333336</v>
      </c>
      <c r="CU87" s="2" cm="1">
        <f t="array" aca="1" ref="CU87" ca="1">MIN(_xlfn._xlws.FILTER($CM87:$CS87,$CM87:$CS87&gt;BO87))</f>
        <v>6.3266666666666671</v>
      </c>
      <c r="CV87" s="16">
        <f t="shared" ca="1" si="119"/>
        <v>0.853515625</v>
      </c>
      <c r="CW87" s="20">
        <f t="shared" ca="1" si="120"/>
        <v>-0.4267578125</v>
      </c>
      <c r="CX87" s="20">
        <f t="shared" ca="1" si="121"/>
        <v>-0.28450520833333331</v>
      </c>
      <c r="CY87" s="20">
        <f t="shared" ca="1" si="122"/>
        <v>-0.17070312500000001</v>
      </c>
      <c r="CZ87" s="20">
        <f t="shared" ca="1" si="123"/>
        <v>-9.4835069444444448E-2</v>
      </c>
      <c r="DA87" s="20">
        <f t="shared" ca="1" si="124"/>
        <v>-5.0206801470588237E-2</v>
      </c>
      <c r="DB87" s="20">
        <f t="shared" ca="1" si="125"/>
        <v>-2.5864109848484848E-2</v>
      </c>
      <c r="DC87" s="20">
        <f t="shared" ca="1" si="126"/>
        <v>-1.3131009615384616E-2</v>
      </c>
      <c r="DD87" s="21">
        <f t="shared" ca="1" si="127"/>
        <v>1.3131009615384616E-2</v>
      </c>
      <c r="DE87" s="21">
        <f t="shared" ca="1" si="128"/>
        <v>2.5864109848484848E-2</v>
      </c>
      <c r="DF87" s="21">
        <f t="shared" ca="1" si="129"/>
        <v>5.0206801470588237E-2</v>
      </c>
      <c r="DG87" s="21">
        <f t="shared" ca="1" si="130"/>
        <v>9.4835069444444448E-2</v>
      </c>
      <c r="DH87" s="21">
        <f t="shared" ca="1" si="131"/>
        <v>0.17070312500000001</v>
      </c>
      <c r="DI87" s="21">
        <f t="shared" ca="1" si="132"/>
        <v>0.28450520833333331</v>
      </c>
      <c r="DJ87" s="21">
        <f t="shared" ca="1" si="133"/>
        <v>0.4267578125</v>
      </c>
      <c r="DL87" s="16" cm="1">
        <f t="array" aca="1" ref="DL87" ca="1">MAX(_xlfn._xlws.FILTER(CW87:DJ87,CW87:DJ87&lt;BU87))</f>
        <v>5.0206801470588237E-2</v>
      </c>
      <c r="DM87" s="16" cm="1">
        <f t="array" aca="1" ref="DM87" ca="1">MIN(_xlfn._xlws.FILTER(CW87:DJ87,CW87:DJ87&gt;BU87))</f>
        <v>9.4835069444444448E-2</v>
      </c>
      <c r="DN87" s="2" cm="1">
        <f t="array" aca="1" ref="DN87" ca="1">_FV(EC87,"Fechamento anterior",TRUE)</f>
        <v>3.88</v>
      </c>
      <c r="DO87" s="28">
        <f t="shared" ca="1" si="106"/>
        <v>0.95402993701196481</v>
      </c>
      <c r="DP87" s="15">
        <f t="shared" ca="1" si="134"/>
        <v>4.0748023897058818</v>
      </c>
      <c r="DQ87" s="15">
        <f t="shared" ca="1" si="135"/>
        <v>4.2479600694444439</v>
      </c>
      <c r="DR87" s="9"/>
      <c r="DS87" s="9"/>
      <c r="DT87" s="9"/>
      <c r="DU87" s="89">
        <v>2.5976515696141865E-2</v>
      </c>
      <c r="DV87" s="89">
        <f t="shared" ca="1" si="107"/>
        <v>4.462826797385621E-2</v>
      </c>
      <c r="DW87" s="72">
        <f t="shared" ca="1" si="108"/>
        <v>-9.8593442560723204E-3</v>
      </c>
      <c r="DX87" s="37"/>
      <c r="DY87" s="35">
        <f t="shared" si="118"/>
        <v>0.25356655930938538</v>
      </c>
      <c r="DZ87" s="56"/>
      <c r="EA87" s="56"/>
      <c r="EC87" s="2" t="e" vm="87">
        <v>#VALUE!</v>
      </c>
      <c r="EE87" s="10" cm="1">
        <f t="array" aca="1" ref="EE87" ca="1">_FV(EC87,"Ações em circulação",TRUE)</f>
        <v>11109350</v>
      </c>
      <c r="EF87" s="18">
        <f>VLOOKUP(BP87,Fundamentus!A:U,5,FALSE)</f>
        <v>0.25600000000000001</v>
      </c>
      <c r="EG87" s="2">
        <f t="shared" ca="1" si="109"/>
        <v>183998609.375</v>
      </c>
      <c r="EH87" s="17">
        <v>-22503029.926562499</v>
      </c>
      <c r="EI87" s="17">
        <f t="shared" ca="1" si="110"/>
        <v>-22503029.926562499</v>
      </c>
      <c r="EK87" s="16">
        <f t="shared" ca="1" si="97"/>
        <v>0</v>
      </c>
      <c r="EL87" s="32" t="str">
        <f>IF(VLOOKUP(BP87,Fundamentus!A:U,3,FALSE)&lt;15,"Bom",IF(VLOOKUP(BP87,Fundamentus!A:U,3,FALSE)&gt;15,"Ruim","n/a"))</f>
        <v>Bom</v>
      </c>
      <c r="EM87" s="28" t="str">
        <f>IF(VLOOKUP(BP87,Fundamentus!A:U,4,FALSE)&lt;1,"Baixo",IF(VLOOKUP(BP87,Fundamentus!A:U,4,FALSE)&lt;1.5,"Moderado",IF(VLOOKUP(BP87,Fundamentus!A:U,4,FALSE)&gt;1.5,"Alto","n/a")))</f>
        <v>Baixo</v>
      </c>
      <c r="EN87" s="17" t="str">
        <f>IF(VLOOKUP(BP87,Fundamentus!A:U,8,FALSE)&lt;0,"Risco elevado",IF(VLOOKUP(BP87,Fundamentus!A:U,8,FALSE)&lt;1,"Saudável",IF(VLOOKUP(BP87,Fundamentus!A:U,8,FALSE)&lt;3,"Estável",IF(VLOOKUP(BP87,Fundamentus!A:U,8,FALSE)&gt;3,"Alerta","n/a"))))</f>
        <v>Saudável</v>
      </c>
      <c r="EO87" s="28" t="str">
        <f t="shared" si="111"/>
        <v>Ruim</v>
      </c>
      <c r="EP87" s="17" t="str">
        <f>IF(VLOOKUP(BP87,Fundamentus!A:U,12,FALSE)&lt;2,"Subvalorizada",IF(VLOOKUP(BP87,Fundamentus!A:U,12,FALSE)&lt;6,"Muita barata",IF(VLOOKUP(BP87,Fundamentus!A:U,12,FALSE)&lt;6,"Barata",IF(VLOOKUP(BP87,Fundamentus!A:U,12,FALSE)&lt;8,"Atrativa",IF(VLOOKUP(BP87,Fundamentus!A:U,12,FALSE)&gt;8,"Supervalorizada","n/a")))))</f>
        <v>Muita barata</v>
      </c>
      <c r="ER87" s="17" t="str">
        <f>IF(VLOOKUP(BP87,Fundamentus!A:U,17,FALSE)&lt;0.1,"Fraco retorno",IF(VLOOKUP(BP87,Fundamentus!A:U,17,FALSE)&gt;0.1,"Bom retorno","n/a"))</f>
        <v>Fraco retorno</v>
      </c>
      <c r="ES87" s="17" t="str">
        <f>IF(VLOOKUP(BP87,Fundamentus!A:U,16,FALSE)&lt;0.1,"Ineficiente",IF(VLOOKUP(BP87,Fundamentus!A:U,16,FALSE)&gt;0.1,"Eficiente","n/a"))</f>
        <v>Ineficiente</v>
      </c>
      <c r="ET87" s="33" t="str">
        <f>IF(VLOOKUP(BP87,Fundamentus!A:U,16,FALSE)&lt;0.1,"Oper. Ineficiente",IF(VLOOKUP(BP87,Fundamentus!A:U,16,FALSE)&gt;0.1,"Oper.Eficiente","n/a"))</f>
        <v>Oper. Ineficiente</v>
      </c>
      <c r="EU87" s="34">
        <f>VLOOKUP(BP87,Fundamentus!A:U,14,FALSE)</f>
        <v>-0.12230000000000001</v>
      </c>
      <c r="EV87" s="17" t="str">
        <f>IF(VLOOKUP(BP87,Fundamentus!A:U,21,FALSE)&lt;0,"Negativo",IF(VLOOKUP(BP87,Fundamentus!A:U,21,FALSE)&lt;0.05,"Fraco",IF(VLOOKUP(BP87,Fundamentus!A:U,21,FALSE)&lt;0.1,"Bom",IF(VLOOKUP(BP87,Fundamentus!A:U,21,FALSE)&gt;0.1,"Muito bom","n/a"))))</f>
        <v>Negativo</v>
      </c>
      <c r="EX87" s="29" t="str">
        <f>IF(VLOOKUP(BP87,Fundamentus!A:U,15,FALSE)&gt;1,"Bom",IF(VLOOKUP(BP87,Fundamentus!A:U,15,FALSE)&lt;1,"Ruim","n/a"))</f>
        <v>Bom</v>
      </c>
      <c r="EY87" s="17" t="str">
        <f>IF(VLOOKUP(BP87,Fundamentus!A:U,20,FALSE)&lt;0.5,"Baixa",IF(VLOOKUP(BP87,Fundamentus!A:U,20,FALSE)&lt;1,"Moderada",IF(VLOOKUP(BP87,Fundamentus!A:U,20,FALSE)&lt;2,"Alerta",IF(VLOOKUP(BP87,Fundamentus!A:U,20,FALSE)&gt;2,"Alta","n/a"))))</f>
        <v>Baixa</v>
      </c>
      <c r="EZ87" s="10"/>
    </row>
    <row r="88" spans="1:156" s="2" customFormat="1" ht="11.25" x14ac:dyDescent="0.2">
      <c r="A88" s="4">
        <v>34.4</v>
      </c>
      <c r="B88" s="4">
        <v>34.29</v>
      </c>
      <c r="C88" s="4">
        <v>35.57</v>
      </c>
      <c r="D88" s="4">
        <v>33.58</v>
      </c>
      <c r="E88" s="4">
        <v>31.25</v>
      </c>
      <c r="F88" s="4">
        <v>31.86</v>
      </c>
      <c r="G88" s="4">
        <v>30.51</v>
      </c>
      <c r="H88" s="4">
        <v>30.96</v>
      </c>
      <c r="I88" s="4">
        <v>29.34</v>
      </c>
      <c r="J88" s="4">
        <v>27.57</v>
      </c>
      <c r="K88" s="4">
        <v>28.4</v>
      </c>
      <c r="L88" s="4">
        <v>28.87</v>
      </c>
      <c r="M88" s="4">
        <v>27.83</v>
      </c>
      <c r="N88" s="4">
        <v>27.14</v>
      </c>
      <c r="O88" s="4">
        <v>29.53</v>
      </c>
      <c r="P88" s="4">
        <v>28.02</v>
      </c>
      <c r="Q88" s="4">
        <v>28.09</v>
      </c>
      <c r="R88" s="4">
        <v>27.16</v>
      </c>
      <c r="S88" s="4">
        <v>27.76</v>
      </c>
      <c r="T88" s="4">
        <v>27.35</v>
      </c>
      <c r="U88" s="4">
        <v>25.95</v>
      </c>
      <c r="V88" s="4">
        <v>24.95</v>
      </c>
      <c r="W88" s="4">
        <v>26.53</v>
      </c>
      <c r="X88" s="4">
        <v>25.29</v>
      </c>
      <c r="Y88" s="4">
        <v>24.92</v>
      </c>
      <c r="Z88" s="4">
        <v>24.6</v>
      </c>
      <c r="AA88" s="4">
        <v>25.5</v>
      </c>
      <c r="AB88" s="4">
        <v>24.79</v>
      </c>
      <c r="AC88" s="4">
        <v>25.4</v>
      </c>
      <c r="AD88" s="4">
        <v>23.79</v>
      </c>
      <c r="AE88" s="4">
        <v>22.42</v>
      </c>
      <c r="AF88" s="4">
        <v>21.67</v>
      </c>
      <c r="AG88" s="4">
        <v>21.22</v>
      </c>
      <c r="AH88" s="4">
        <v>20.52</v>
      </c>
      <c r="AI88" s="4">
        <v>20.16</v>
      </c>
      <c r="AJ88" s="4">
        <v>19.59</v>
      </c>
      <c r="AK88" s="4">
        <v>19.28</v>
      </c>
      <c r="AL88" s="4">
        <v>19.399999999999999</v>
      </c>
      <c r="AM88" s="4">
        <v>20.2</v>
      </c>
      <c r="AN88" s="4">
        <v>23.08</v>
      </c>
      <c r="AO88" s="4">
        <v>21.61</v>
      </c>
      <c r="AP88" s="4">
        <v>22.73</v>
      </c>
      <c r="AQ88" s="4">
        <v>23.69</v>
      </c>
      <c r="AR88" s="4">
        <v>22.46</v>
      </c>
      <c r="AS88" s="4">
        <v>23.7</v>
      </c>
      <c r="AT88" s="4">
        <v>23.29</v>
      </c>
      <c r="AU88" s="4">
        <v>23.815000000000001</v>
      </c>
      <c r="AV88" s="4">
        <v>22.41</v>
      </c>
      <c r="AW88" s="4">
        <v>23.81</v>
      </c>
      <c r="AX88" s="4">
        <v>23.89</v>
      </c>
      <c r="AY88" s="12">
        <v>25.18</v>
      </c>
      <c r="AZ88" s="12">
        <v>24.83</v>
      </c>
      <c r="BA88" s="12">
        <v>25.37</v>
      </c>
      <c r="BB88" s="15">
        <v>23.56</v>
      </c>
      <c r="BC88" s="52">
        <v>23.97</v>
      </c>
      <c r="BD88" s="52">
        <v>23.61</v>
      </c>
      <c r="BE88" s="52">
        <v>23.78</v>
      </c>
      <c r="BF88" s="52">
        <v>23.5</v>
      </c>
      <c r="BG88" s="67">
        <v>23.11</v>
      </c>
      <c r="BH88" s="52">
        <v>23.33</v>
      </c>
      <c r="BI88" s="52">
        <v>23.9</v>
      </c>
      <c r="BJ88" s="52">
        <v>24.44</v>
      </c>
      <c r="BK88" s="52">
        <v>26.75</v>
      </c>
      <c r="BL88" s="52">
        <v>24.73</v>
      </c>
      <c r="BM88" s="52">
        <v>25.51</v>
      </c>
      <c r="BN88" s="52">
        <v>24.17</v>
      </c>
      <c r="BO88" s="52" cm="1">
        <f t="array" aca="1" ref="BO88" ca="1">_FV(EC88,"Preço")</f>
        <v>24.17</v>
      </c>
      <c r="BP88" s="69" t="s">
        <v>85</v>
      </c>
      <c r="BQ88" s="36" cm="1">
        <f t="array" aca="1" ref="BQ88" ca="1">_FV(EC88,"Média de volume",TRUE)</f>
        <v>497120</v>
      </c>
      <c r="BR88" s="36">
        <v>413900</v>
      </c>
      <c r="BS88" s="36" cm="1">
        <f t="array" aca="1" ref="BS88" ca="1">_FV(EC88,"Volume")</f>
        <v>413900</v>
      </c>
      <c r="BT88" s="24" cm="1">
        <f t="array" aca="1" ref="BT88" ca="1">_FV(EC88,"Beta")</f>
        <v>0.89380000000000004</v>
      </c>
      <c r="BU88" s="71" cm="1">
        <f t="array" aca="1" ref="BU88" ca="1">_FV(EC88,"Variação (%)",TRUE)</f>
        <v>-5.7589999999999994E-3</v>
      </c>
      <c r="BW88" s="17" cm="1">
        <f t="array" aca="1" ref="BW88" ca="1">_FV(EC88,"Baixo")</f>
        <v>24.17</v>
      </c>
      <c r="BX88" s="17" cm="1">
        <f t="array" aca="1" ref="BX88" ca="1">_FV(EC88,"Alto")</f>
        <v>25.01</v>
      </c>
      <c r="BY88" s="24"/>
      <c r="BZ88" s="63">
        <f ca="1">SQRT(22.5*(BO88/VLOOKUP(BP88,Fundamentus!A:U,3,FALSE))*(BO88/VLOOKUP(BP88,Fundamentus!A:U,4,FALSE)))</f>
        <v>28.391186143918343</v>
      </c>
      <c r="CB88" s="62">
        <f t="shared" ca="1" si="112"/>
        <v>0</v>
      </c>
      <c r="CC88" s="8"/>
      <c r="CD88" s="61">
        <f t="shared" si="113"/>
        <v>19.28</v>
      </c>
      <c r="CE88" s="61">
        <f t="shared" si="114"/>
        <v>35.57</v>
      </c>
      <c r="CF88" s="61">
        <f t="shared" si="115"/>
        <v>25.452803030303023</v>
      </c>
      <c r="CG88" s="14"/>
      <c r="CH88" s="35">
        <f t="shared" si="98"/>
        <v>21.689677447322826</v>
      </c>
      <c r="CI88" s="15">
        <f t="shared" si="116"/>
        <v>23.550000000000182</v>
      </c>
      <c r="CJ88" s="35">
        <f t="shared" si="99"/>
        <v>25.410322552677538</v>
      </c>
      <c r="CL88" s="14"/>
      <c r="CM88" s="17">
        <f t="shared" si="100"/>
        <v>0.82000000000000739</v>
      </c>
      <c r="CN88" s="17">
        <f t="shared" si="101"/>
        <v>10.050000000000004</v>
      </c>
      <c r="CO88" s="17">
        <f t="shared" si="102"/>
        <v>17.110000000000007</v>
      </c>
      <c r="CP88" s="38">
        <f t="shared" si="117"/>
        <v>26.340000000000003</v>
      </c>
      <c r="CQ88" s="17">
        <f t="shared" si="103"/>
        <v>33.400000000000006</v>
      </c>
      <c r="CR88" s="17">
        <f t="shared" si="104"/>
        <v>42.63</v>
      </c>
      <c r="CS88" s="17">
        <f t="shared" si="105"/>
        <v>49.690000000000005</v>
      </c>
      <c r="CT88" s="2" cm="1">
        <f t="array" aca="1" ref="CT88" ca="1">MAX(_xlfn._xlws.FILTER(CM88:CS88,CM88:CS88&lt;BO88))</f>
        <v>17.110000000000007</v>
      </c>
      <c r="CU88" s="2" cm="1">
        <f t="array" aca="1" ref="CU88" ca="1">MIN(_xlfn._xlws.FILTER($CM88:$CS88,$CM88:$CS88&gt;BO88))</f>
        <v>26.340000000000003</v>
      </c>
      <c r="CV88" s="16">
        <f t="shared" ca="1" si="119"/>
        <v>0.53945061367621228</v>
      </c>
      <c r="CW88" s="20">
        <f t="shared" ca="1" si="120"/>
        <v>-0.26972530683810614</v>
      </c>
      <c r="CX88" s="20">
        <f t="shared" ca="1" si="121"/>
        <v>-0.1798168712254041</v>
      </c>
      <c r="CY88" s="20">
        <f t="shared" ca="1" si="122"/>
        <v>-0.10789012273524246</v>
      </c>
      <c r="CZ88" s="20">
        <f t="shared" ca="1" si="123"/>
        <v>-5.9938957075134698E-2</v>
      </c>
      <c r="DA88" s="20">
        <f t="shared" ca="1" si="124"/>
        <v>-3.1732389039777195E-2</v>
      </c>
      <c r="DB88" s="20">
        <f t="shared" ca="1" si="125"/>
        <v>-1.6346988293218553E-2</v>
      </c>
      <c r="DC88" s="20">
        <f t="shared" ca="1" si="126"/>
        <v>-8.2992402104032654E-3</v>
      </c>
      <c r="DD88" s="21">
        <f t="shared" ca="1" si="127"/>
        <v>8.2992402104032654E-3</v>
      </c>
      <c r="DE88" s="21">
        <f t="shared" ca="1" si="128"/>
        <v>1.6346988293218553E-2</v>
      </c>
      <c r="DF88" s="21">
        <f t="shared" ca="1" si="129"/>
        <v>3.1732389039777195E-2</v>
      </c>
      <c r="DG88" s="21">
        <f t="shared" ca="1" si="130"/>
        <v>5.9938957075134698E-2</v>
      </c>
      <c r="DH88" s="21">
        <f t="shared" ca="1" si="131"/>
        <v>0.10789012273524246</v>
      </c>
      <c r="DI88" s="21">
        <f t="shared" ca="1" si="132"/>
        <v>0.1798168712254041</v>
      </c>
      <c r="DJ88" s="21">
        <f t="shared" ca="1" si="133"/>
        <v>0.26972530683810614</v>
      </c>
      <c r="DL88" s="16" cm="1">
        <f t="array" aca="1" ref="DL88" ca="1">MAX(_xlfn._xlws.FILTER(CW88:DJ88,CW88:DJ88&lt;BU88))</f>
        <v>-8.2992402104032654E-3</v>
      </c>
      <c r="DM88" s="16" cm="1">
        <f t="array" aca="1" ref="DM88" ca="1">MIN(_xlfn._xlws.FILTER(CW88:DJ88,CW88:DJ88&gt;BU88))</f>
        <v>8.2992402104032654E-3</v>
      </c>
      <c r="DN88" s="2" cm="1">
        <f t="array" aca="1" ref="DN88" ca="1">_FV(EC88,"Fechamento anterior",TRUE)</f>
        <v>24.31</v>
      </c>
      <c r="DO88" s="28">
        <f t="shared" ca="1" si="106"/>
        <v>0.15304372512326955</v>
      </c>
      <c r="DP88" s="15">
        <f t="shared" ca="1" si="134"/>
        <v>24.108245470485095</v>
      </c>
      <c r="DQ88" s="15">
        <f t="shared" ca="1" si="135"/>
        <v>24.511754529514903</v>
      </c>
      <c r="DR88" s="9"/>
      <c r="DS88" s="9"/>
      <c r="DT88" s="9"/>
      <c r="DU88" s="89">
        <v>7.7166176689532247E-3</v>
      </c>
      <c r="DV88" s="89">
        <f t="shared" ca="1" si="107"/>
        <v>1.6598480420806531E-2</v>
      </c>
      <c r="DW88" s="72">
        <f t="shared" ca="1" si="108"/>
        <v>0.33327553821648964</v>
      </c>
      <c r="DX88" s="37"/>
      <c r="DY88" s="35">
        <f t="shared" si="118"/>
        <v>0.9301612763386784</v>
      </c>
      <c r="DZ88" s="56"/>
      <c r="EA88" s="56"/>
      <c r="EC88" s="2" t="e" vm="88">
        <v>#VALUE!</v>
      </c>
      <c r="EE88" s="10" cm="1">
        <f t="array" aca="1" ref="EE88" ca="1">_FV(EC88,"Ações em circulação",TRUE)</f>
        <v>339000000</v>
      </c>
      <c r="EF88" s="18">
        <f>VLOOKUP(BP88,Fundamentus!A:U,5,FALSE)</f>
        <v>0.878</v>
      </c>
      <c r="EG88" s="2">
        <f t="shared" ca="1" si="109"/>
        <v>9332152619.5899792</v>
      </c>
      <c r="EH88" s="17">
        <v>537531990.88838279</v>
      </c>
      <c r="EI88" s="17">
        <f t="shared" ca="1" si="110"/>
        <v>537531990.88838279</v>
      </c>
      <c r="EK88" s="16">
        <f t="shared" ca="1" si="97"/>
        <v>0</v>
      </c>
      <c r="EL88" s="32" t="str">
        <f>IF(VLOOKUP(BP88,Fundamentus!A:U,3,FALSE)&lt;15,"Bom",IF(VLOOKUP(BP88,Fundamentus!A:U,3,FALSE)&gt;15,"Ruim","n/a"))</f>
        <v>Ruim</v>
      </c>
      <c r="EM88" s="28" t="str">
        <f>IF(VLOOKUP(BP88,Fundamentus!A:U,4,FALSE)&lt;1,"Baixo",IF(VLOOKUP(BP88,Fundamentus!A:U,4,FALSE)&lt;1.5,"Moderado",IF(VLOOKUP(BP88,Fundamentus!A:U,4,FALSE)&gt;1.5,"Alto","n/a")))</f>
        <v>Moderado</v>
      </c>
      <c r="EN88" s="17" t="str">
        <f>IF(VLOOKUP(BP88,Fundamentus!A:U,8,FALSE)&lt;0,"Risco elevado",IF(VLOOKUP(BP88,Fundamentus!A:U,8,FALSE)&lt;1,"Saudável",IF(VLOOKUP(BP88,Fundamentus!A:U,8,FALSE)&lt;3,"Estável",IF(VLOOKUP(BP88,Fundamentus!A:U,8,FALSE)&gt;3,"Alerta","n/a"))))</f>
        <v>Estável</v>
      </c>
      <c r="EO88" s="28" t="str">
        <f t="shared" si="111"/>
        <v>Ruim</v>
      </c>
      <c r="EP88" s="17" t="str">
        <f>IF(VLOOKUP(BP88,Fundamentus!A:U,12,FALSE)&lt;2,"Subvalorizada",IF(VLOOKUP(BP88,Fundamentus!A:U,12,FALSE)&lt;6,"Muita barata",IF(VLOOKUP(BP88,Fundamentus!A:U,12,FALSE)&lt;6,"Barata",IF(VLOOKUP(BP88,Fundamentus!A:U,12,FALSE)&lt;8,"Atrativa",IF(VLOOKUP(BP88,Fundamentus!A:U,12,FALSE)&gt;8,"Supervalorizada","n/a")))))</f>
        <v>Atrativa</v>
      </c>
      <c r="ER88" s="17" t="str">
        <f>IF(VLOOKUP(BP88,Fundamentus!A:U,17,FALSE)&lt;0.1,"Fraco retorno",IF(VLOOKUP(BP88,Fundamentus!A:U,17,FALSE)&gt;0.1,"Bom retorno","n/a"))</f>
        <v>Fraco retorno</v>
      </c>
      <c r="ES88" s="17" t="str">
        <f>IF(VLOOKUP(BP88,Fundamentus!A:U,16,FALSE)&lt;0.1,"Ineficiente",IF(VLOOKUP(BP88,Fundamentus!A:U,16,FALSE)&gt;0.1,"Eficiente","n/a"))</f>
        <v>Ineficiente</v>
      </c>
      <c r="ET88" s="33" t="str">
        <f>IF(VLOOKUP(BP88,Fundamentus!A:U,16,FALSE)&lt;0.1,"Oper. Ineficiente",IF(VLOOKUP(BP88,Fundamentus!A:U,16,FALSE)&gt;0.1,"Oper.Eficiente","n/a"))</f>
        <v>Oper. Ineficiente</v>
      </c>
      <c r="EU88" s="34">
        <f>VLOOKUP(BP88,Fundamentus!A:U,14,FALSE)</f>
        <v>5.7599999999999998E-2</v>
      </c>
      <c r="EV88" s="17" t="str">
        <f>IF(VLOOKUP(BP88,Fundamentus!A:U,21,FALSE)&lt;0,"Negativo",IF(VLOOKUP(BP88,Fundamentus!A:U,21,FALSE)&lt;0.05,"Fraco",IF(VLOOKUP(BP88,Fundamentus!A:U,21,FALSE)&lt;0.1,"Bom",IF(VLOOKUP(BP88,Fundamentus!A:U,21,FALSE)&gt;0.1,"Muito bom","n/a"))))</f>
        <v>Bom</v>
      </c>
      <c r="EX88" s="29" t="str">
        <f>IF(VLOOKUP(BP88,Fundamentus!A:U,15,FALSE)&gt;1,"Bom",IF(VLOOKUP(BP88,Fundamentus!A:U,15,FALSE)&lt;1,"Ruim","n/a"))</f>
        <v>Bom</v>
      </c>
      <c r="EY88" s="17" t="str">
        <f>IF(VLOOKUP(BP88,Fundamentus!A:U,20,FALSE)&lt;0.5,"Baixa",IF(VLOOKUP(BP88,Fundamentus!A:U,20,FALSE)&lt;1,"Moderada",IF(VLOOKUP(BP88,Fundamentus!A:U,20,FALSE)&lt;2,"Alerta",IF(VLOOKUP(BP88,Fundamentus!A:U,20,FALSE)&gt;2,"Alta","n/a"))))</f>
        <v>Baixa</v>
      </c>
      <c r="EZ88" s="10"/>
    </row>
    <row r="89" spans="1:156" s="2" customFormat="1" ht="11.25" x14ac:dyDescent="0.2">
      <c r="A89" s="4">
        <v>13.78</v>
      </c>
      <c r="B89" s="4">
        <v>13.45</v>
      </c>
      <c r="C89" s="4">
        <v>13.43</v>
      </c>
      <c r="D89" s="4">
        <v>12.94</v>
      </c>
      <c r="E89" s="4">
        <v>12.69</v>
      </c>
      <c r="F89" s="4">
        <v>12.95</v>
      </c>
      <c r="G89" s="4">
        <v>12.83</v>
      </c>
      <c r="H89" s="4">
        <v>12.4</v>
      </c>
      <c r="I89" s="4">
        <v>12.38</v>
      </c>
      <c r="J89" s="4">
        <v>12.46</v>
      </c>
      <c r="K89" s="4">
        <v>12.64</v>
      </c>
      <c r="L89" s="4">
        <v>12.49</v>
      </c>
      <c r="M89" s="4">
        <v>12.45</v>
      </c>
      <c r="N89" s="4">
        <v>12.65</v>
      </c>
      <c r="O89" s="4">
        <v>14.6</v>
      </c>
      <c r="P89" s="4">
        <v>14.86</v>
      </c>
      <c r="Q89" s="4">
        <v>15.66</v>
      </c>
      <c r="R89" s="4">
        <v>15.64</v>
      </c>
      <c r="S89" s="4">
        <v>15.7</v>
      </c>
      <c r="T89" s="4">
        <v>15.55</v>
      </c>
      <c r="U89" s="4">
        <v>14.75</v>
      </c>
      <c r="V89" s="4">
        <v>14.94</v>
      </c>
      <c r="W89" s="4">
        <v>15.06</v>
      </c>
      <c r="X89" s="4">
        <v>14.8</v>
      </c>
      <c r="Y89" s="4">
        <v>15.15</v>
      </c>
      <c r="Z89" s="4">
        <v>14.93</v>
      </c>
      <c r="AA89" s="4">
        <v>14.11</v>
      </c>
      <c r="AB89" s="4">
        <v>13.54</v>
      </c>
      <c r="AC89" s="4">
        <v>13.53</v>
      </c>
      <c r="AD89" s="4">
        <v>13.8</v>
      </c>
      <c r="AE89" s="4">
        <v>12.63</v>
      </c>
      <c r="AF89" s="4">
        <v>12.32</v>
      </c>
      <c r="AG89" s="4">
        <v>12.1</v>
      </c>
      <c r="AH89" s="4">
        <v>11.55</v>
      </c>
      <c r="AI89" s="4">
        <v>11.55</v>
      </c>
      <c r="AJ89" s="4">
        <v>11.2</v>
      </c>
      <c r="AK89" s="4">
        <v>11.18</v>
      </c>
      <c r="AL89" s="4">
        <v>11.59</v>
      </c>
      <c r="AM89" s="4">
        <v>11.3</v>
      </c>
      <c r="AN89" s="4">
        <v>12.09</v>
      </c>
      <c r="AO89" s="4">
        <v>11.99</v>
      </c>
      <c r="AP89" s="4">
        <v>12.19</v>
      </c>
      <c r="AQ89" s="4">
        <v>11.84</v>
      </c>
      <c r="AR89" s="4">
        <v>11.24</v>
      </c>
      <c r="AS89" s="4">
        <v>11.69</v>
      </c>
      <c r="AT89" s="4">
        <v>12.13</v>
      </c>
      <c r="AU89" s="4">
        <v>12.475</v>
      </c>
      <c r="AV89" s="4">
        <v>12.84</v>
      </c>
      <c r="AW89" s="4">
        <v>12.57</v>
      </c>
      <c r="AX89" s="4">
        <v>12.62</v>
      </c>
      <c r="AY89" s="12">
        <v>12.78</v>
      </c>
      <c r="AZ89" s="12">
        <v>13.38</v>
      </c>
      <c r="BA89" s="12">
        <v>13.73</v>
      </c>
      <c r="BB89" s="15">
        <v>15.08</v>
      </c>
      <c r="BC89" s="52">
        <v>15.35</v>
      </c>
      <c r="BD89" s="52">
        <v>15.64</v>
      </c>
      <c r="BE89" s="52">
        <v>16.2</v>
      </c>
      <c r="BF89" s="52">
        <v>15.96</v>
      </c>
      <c r="BG89" s="67">
        <v>16.29</v>
      </c>
      <c r="BH89" s="52">
        <v>16.62</v>
      </c>
      <c r="BI89" s="52">
        <v>16.57</v>
      </c>
      <c r="BJ89" s="52">
        <v>16.670000000000002</v>
      </c>
      <c r="BK89" s="52">
        <v>16.05</v>
      </c>
      <c r="BL89" s="52">
        <v>15.67</v>
      </c>
      <c r="BM89" s="52">
        <v>15.56</v>
      </c>
      <c r="BN89" s="52">
        <v>15.56</v>
      </c>
      <c r="BO89" s="52" cm="1">
        <f t="array" aca="1" ref="BO89" ca="1">_FV(EC89,"Preço")</f>
        <v>15.56</v>
      </c>
      <c r="BP89" s="69" t="s">
        <v>110</v>
      </c>
      <c r="BQ89" s="36" cm="1">
        <f t="array" aca="1" ref="BQ89" ca="1">_FV(EC89,"Média de volume",TRUE)</f>
        <v>32706350</v>
      </c>
      <c r="BR89" s="36">
        <v>30150500</v>
      </c>
      <c r="BS89" s="36" cm="1">
        <f t="array" aca="1" ref="BS89" ca="1">_FV(EC89,"Volume")</f>
        <v>30150500</v>
      </c>
      <c r="BT89" s="24" cm="1">
        <f t="array" aca="1" ref="BT89" ca="1">_FV(EC89,"Beta")</f>
        <v>1.4981</v>
      </c>
      <c r="BU89" s="71" cm="1">
        <f t="array" aca="1" ref="BU89" ca="1">_FV(EC89,"Variação (%)",TRUE)</f>
        <v>1.9320000000000001E-3</v>
      </c>
      <c r="BW89" s="17" cm="1">
        <f t="array" aca="1" ref="BW89" ca="1">_FV(EC89,"Baixo")</f>
        <v>15.51</v>
      </c>
      <c r="BX89" s="17" cm="1">
        <f t="array" aca="1" ref="BX89" ca="1">_FV(EC89,"Alto")</f>
        <v>15.85</v>
      </c>
      <c r="BY89" s="24"/>
      <c r="BZ89" s="63">
        <f ca="1">SQRT(22.5*(BO89/VLOOKUP(BP89,Fundamentus!A:U,3,FALSE))*(BO89/VLOOKUP(BP89,Fundamentus!A:U,4,FALSE)))</f>
        <v>25.630406432267538</v>
      </c>
      <c r="CB89" s="62">
        <f t="shared" ca="1" si="112"/>
        <v>0</v>
      </c>
      <c r="CC89" s="8"/>
      <c r="CD89" s="61">
        <f t="shared" si="113"/>
        <v>11.18</v>
      </c>
      <c r="CE89" s="61">
        <f t="shared" si="114"/>
        <v>16.670000000000002</v>
      </c>
      <c r="CF89" s="61">
        <f t="shared" si="115"/>
        <v>13.672196969696973</v>
      </c>
      <c r="CG89" s="14"/>
      <c r="CH89" s="35">
        <f t="shared" si="98"/>
        <v>14.466717028344958</v>
      </c>
      <c r="CI89" s="15">
        <f t="shared" si="116"/>
        <v>15.315000000000055</v>
      </c>
      <c r="CJ89" s="35">
        <f t="shared" si="99"/>
        <v>16.16328297165515</v>
      </c>
      <c r="CL89" s="14"/>
      <c r="CM89" s="17">
        <f t="shared" si="100"/>
        <v>6.7799999999999976</v>
      </c>
      <c r="CN89" s="17">
        <f t="shared" si="101"/>
        <v>8.9799999999999986</v>
      </c>
      <c r="CO89" s="17">
        <f t="shared" si="102"/>
        <v>12.27</v>
      </c>
      <c r="CP89" s="38">
        <f t="shared" si="117"/>
        <v>14.47</v>
      </c>
      <c r="CQ89" s="17">
        <f t="shared" si="103"/>
        <v>17.760000000000002</v>
      </c>
      <c r="CR89" s="17">
        <f t="shared" si="104"/>
        <v>19.96</v>
      </c>
      <c r="CS89" s="17">
        <f t="shared" si="105"/>
        <v>23.250000000000004</v>
      </c>
      <c r="CT89" s="2" cm="1">
        <f t="array" aca="1" ref="CT89" ca="1">MAX(_xlfn._xlws.FILTER(CM89:CS89,CM89:CS89&lt;BO89))</f>
        <v>14.47</v>
      </c>
      <c r="CU89" s="2" cm="1">
        <f t="array" aca="1" ref="CU89" ca="1">MIN(_xlfn._xlws.FILTER($CM89:$CS89,$CM89:$CS89&gt;BO89))</f>
        <v>17.760000000000002</v>
      </c>
      <c r="CV89" s="16">
        <f t="shared" ca="1" si="119"/>
        <v>0.22736696613683494</v>
      </c>
      <c r="CW89" s="20">
        <f t="shared" ca="1" si="120"/>
        <v>-0.11368348306841747</v>
      </c>
      <c r="CX89" s="20">
        <f t="shared" ca="1" si="121"/>
        <v>-7.5788988712278307E-2</v>
      </c>
      <c r="CY89" s="20">
        <f t="shared" ca="1" si="122"/>
        <v>-4.5473393227366987E-2</v>
      </c>
      <c r="CZ89" s="20">
        <f t="shared" ca="1" si="123"/>
        <v>-2.5262996237426102E-2</v>
      </c>
      <c r="DA89" s="20">
        <f t="shared" ca="1" si="124"/>
        <v>-1.337452741981382E-2</v>
      </c>
      <c r="DB89" s="20">
        <f t="shared" ca="1" si="125"/>
        <v>-6.8899080647525741E-3</v>
      </c>
      <c r="DC89" s="20">
        <f t="shared" ca="1" si="126"/>
        <v>-3.497953325182076E-3</v>
      </c>
      <c r="DD89" s="21">
        <f t="shared" ca="1" si="127"/>
        <v>3.497953325182076E-3</v>
      </c>
      <c r="DE89" s="21">
        <f t="shared" ca="1" si="128"/>
        <v>6.8899080647525741E-3</v>
      </c>
      <c r="DF89" s="21">
        <f t="shared" ca="1" si="129"/>
        <v>1.337452741981382E-2</v>
      </c>
      <c r="DG89" s="21">
        <f t="shared" ca="1" si="130"/>
        <v>2.5262996237426102E-2</v>
      </c>
      <c r="DH89" s="21">
        <f t="shared" ca="1" si="131"/>
        <v>4.5473393227366987E-2</v>
      </c>
      <c r="DI89" s="21">
        <f t="shared" ca="1" si="132"/>
        <v>7.5788988712278307E-2</v>
      </c>
      <c r="DJ89" s="21">
        <f t="shared" ca="1" si="133"/>
        <v>0.11368348306841747</v>
      </c>
      <c r="DL89" s="16" cm="1">
        <f t="array" aca="1" ref="DL89" ca="1">MAX(_xlfn._xlws.FILTER(CW89:DJ89,CW89:DJ89&lt;BU89))</f>
        <v>-3.497953325182076E-3</v>
      </c>
      <c r="DM89" s="16" cm="1">
        <f t="array" aca="1" ref="DM89" ca="1">MIN(_xlfn._xlws.FILTER(CW89:DJ89,CW89:DJ89&gt;BU89))</f>
        <v>3.497953325182076E-3</v>
      </c>
      <c r="DN89" s="2" cm="1">
        <f t="array" aca="1" ref="DN89" ca="1">_FV(EC89,"Fechamento anterior",TRUE)</f>
        <v>15.53</v>
      </c>
      <c r="DO89" s="28">
        <f t="shared" ca="1" si="106"/>
        <v>0.77612504085631595</v>
      </c>
      <c r="DP89" s="15">
        <f t="shared" ca="1" si="134"/>
        <v>15.475676784859921</v>
      </c>
      <c r="DQ89" s="15">
        <f t="shared" ca="1" si="135"/>
        <v>15.584323215140078</v>
      </c>
      <c r="DR89" s="9"/>
      <c r="DS89" s="9"/>
      <c r="DT89" s="9"/>
      <c r="DU89" s="89">
        <v>6.5403166614239321E-3</v>
      </c>
      <c r="DV89" s="89">
        <f t="shared" ca="1" si="107"/>
        <v>6.9959066503641519E-3</v>
      </c>
      <c r="DW89" s="72">
        <f t="shared" ca="1" si="108"/>
        <v>0.28881871755827293</v>
      </c>
      <c r="DX89" s="37"/>
      <c r="DY89" s="35">
        <f t="shared" si="118"/>
        <v>0.4241414858275484</v>
      </c>
      <c r="DZ89" s="56"/>
      <c r="EA89" s="56"/>
      <c r="EC89" s="2" t="e" vm="89">
        <v>#VALUE!</v>
      </c>
      <c r="EE89" s="10" cm="1">
        <f t="array" aca="1" ref="EE89" ca="1">_FV(EC89,"Ações em circulação",TRUE)</f>
        <v>10592010000</v>
      </c>
      <c r="EF89" s="18">
        <f>VLOOKUP(BP89,Fundamentus!A:U,5,FALSE)</f>
        <v>0</v>
      </c>
      <c r="EG89" s="2" t="e">
        <f t="shared" ca="1" si="109"/>
        <v>#DIV/0!</v>
      </c>
      <c r="EH89" s="17" t="e">
        <v>#DIV/0!</v>
      </c>
      <c r="EI89" s="17" t="e">
        <f t="shared" ca="1" si="110"/>
        <v>#DIV/0!</v>
      </c>
      <c r="EK89" s="16" t="e">
        <f t="shared" ca="1" si="97"/>
        <v>#DIV/0!</v>
      </c>
      <c r="EL89" s="32" t="str">
        <f>IF(VLOOKUP(BP89,Fundamentus!A:U,3,FALSE)&lt;15,"Bom",IF(VLOOKUP(BP89,Fundamentus!A:U,3,FALSE)&gt;15,"Ruim","n/a"))</f>
        <v>Bom</v>
      </c>
      <c r="EM89" s="28" t="str">
        <f>IF(VLOOKUP(BP89,Fundamentus!A:U,4,FALSE)&lt;1,"Baixo",IF(VLOOKUP(BP89,Fundamentus!A:U,4,FALSE)&lt;1.5,"Moderado",IF(VLOOKUP(BP89,Fundamentus!A:U,4,FALSE)&gt;1.5,"Alto","n/a")))</f>
        <v>Moderado</v>
      </c>
      <c r="EN89" s="17" t="str">
        <f>IF(VLOOKUP(BP89,Fundamentus!A:U,8,FALSE)&lt;0,"Risco elevado",IF(VLOOKUP(BP89,Fundamentus!A:U,8,FALSE)&lt;1,"Saudável",IF(VLOOKUP(BP89,Fundamentus!A:U,8,FALSE)&lt;3,"Estável",IF(VLOOKUP(BP89,Fundamentus!A:U,8,FALSE)&gt;3,"Alerta","n/a"))))</f>
        <v>Saudável</v>
      </c>
      <c r="EO89" s="28" t="str">
        <f t="shared" si="111"/>
        <v>Ruim</v>
      </c>
      <c r="EP89" s="17" t="str">
        <f>IF(VLOOKUP(BP89,Fundamentus!A:U,12,FALSE)&lt;2,"Subvalorizada",IF(VLOOKUP(BP89,Fundamentus!A:U,12,FALSE)&lt;6,"Muita barata",IF(VLOOKUP(BP89,Fundamentus!A:U,12,FALSE)&lt;6,"Barata",IF(VLOOKUP(BP89,Fundamentus!A:U,12,FALSE)&lt;8,"Atrativa",IF(VLOOKUP(BP89,Fundamentus!A:U,12,FALSE)&gt;8,"Supervalorizada","n/a")))))</f>
        <v>Subvalorizada</v>
      </c>
      <c r="ER89" s="17" t="str">
        <f>IF(VLOOKUP(BP89,Fundamentus!A:U,17,FALSE)&lt;0.1,"Fraco retorno",IF(VLOOKUP(BP89,Fundamentus!A:U,17,FALSE)&gt;0.1,"Bom retorno","n/a"))</f>
        <v>Bom retorno</v>
      </c>
      <c r="ES89" s="17" t="str">
        <f>IF(VLOOKUP(BP89,Fundamentus!A:U,16,FALSE)&lt;0.1,"Ineficiente",IF(VLOOKUP(BP89,Fundamentus!A:U,16,FALSE)&gt;0.1,"Eficiente","n/a"))</f>
        <v>Ineficiente</v>
      </c>
      <c r="ET89" s="33" t="str">
        <f>IF(VLOOKUP(BP89,Fundamentus!A:U,16,FALSE)&lt;0.1,"Oper. Ineficiente",IF(VLOOKUP(BP89,Fundamentus!A:U,16,FALSE)&gt;0.1,"Oper.Eficiente","n/a"))</f>
        <v>Oper. Ineficiente</v>
      </c>
      <c r="EU89" s="34">
        <f>VLOOKUP(BP89,Fundamentus!A:U,14,FALSE)</f>
        <v>0</v>
      </c>
      <c r="EV89" s="17" t="str">
        <f>IF(VLOOKUP(BP89,Fundamentus!A:U,21,FALSE)&lt;0,"Negativo",IF(VLOOKUP(BP89,Fundamentus!A:U,21,FALSE)&lt;0.05,"Fraco",IF(VLOOKUP(BP89,Fundamentus!A:U,21,FALSE)&lt;0.1,"Bom",IF(VLOOKUP(BP89,Fundamentus!A:U,21,FALSE)&gt;0.1,"Muito bom","n/a"))))</f>
        <v>Negativo</v>
      </c>
      <c r="EX89" s="29" t="str">
        <f>IF(VLOOKUP(BP89,Fundamentus!A:U,15,FALSE)&gt;1,"Bom",IF(VLOOKUP(BP89,Fundamentus!A:U,15,FALSE)&lt;1,"Ruim","n/a"))</f>
        <v>Ruim</v>
      </c>
      <c r="EY89" s="17" t="str">
        <f>IF(VLOOKUP(BP89,Fundamentus!A:U,20,FALSE)&lt;0.5,"Baixa",IF(VLOOKUP(BP89,Fundamentus!A:U,20,FALSE)&lt;1,"Moderada",IF(VLOOKUP(BP89,Fundamentus!A:U,20,FALSE)&lt;2,"Alerta",IF(VLOOKUP(BP89,Fundamentus!A:U,20,FALSE)&gt;2,"Alta","n/a"))))</f>
        <v>Baixa</v>
      </c>
      <c r="EZ89" s="10">
        <v>2</v>
      </c>
    </row>
    <row r="90" spans="1:156" s="2" customFormat="1" ht="11.25" x14ac:dyDescent="0.2">
      <c r="A90" s="4">
        <v>29.94</v>
      </c>
      <c r="B90" s="4">
        <v>28.77</v>
      </c>
      <c r="C90" s="4">
        <v>31.33</v>
      </c>
      <c r="D90" s="4">
        <v>30.45</v>
      </c>
      <c r="E90" s="4">
        <v>30.39</v>
      </c>
      <c r="F90" s="4">
        <v>29.92</v>
      </c>
      <c r="G90" s="4">
        <v>29.63</v>
      </c>
      <c r="H90" s="4">
        <v>29.75</v>
      </c>
      <c r="I90" s="4">
        <v>30.89</v>
      </c>
      <c r="J90" s="4">
        <v>29.9</v>
      </c>
      <c r="K90" s="4">
        <v>30.7</v>
      </c>
      <c r="L90" s="4">
        <v>30.31</v>
      </c>
      <c r="M90" s="4">
        <v>30.21</v>
      </c>
      <c r="N90" s="4">
        <v>30.76</v>
      </c>
      <c r="O90" s="4">
        <v>31.18</v>
      </c>
      <c r="P90" s="4">
        <v>32.75</v>
      </c>
      <c r="Q90" s="4">
        <v>34.14</v>
      </c>
      <c r="R90" s="4">
        <v>34.06</v>
      </c>
      <c r="S90" s="4">
        <v>34.54</v>
      </c>
      <c r="T90" s="4">
        <v>34.909999999999997</v>
      </c>
      <c r="U90" s="4">
        <v>35.57</v>
      </c>
      <c r="V90" s="4">
        <v>36.450000000000003</v>
      </c>
      <c r="W90" s="4">
        <v>37.5</v>
      </c>
      <c r="X90" s="4">
        <v>36.26</v>
      </c>
      <c r="Y90" s="4">
        <v>37.22</v>
      </c>
      <c r="Z90" s="4">
        <v>38.340000000000003</v>
      </c>
      <c r="AA90" s="4">
        <v>38</v>
      </c>
      <c r="AB90" s="4">
        <v>38.58</v>
      </c>
      <c r="AC90" s="4">
        <v>38.58</v>
      </c>
      <c r="AD90" s="4">
        <v>38.549999999999997</v>
      </c>
      <c r="AE90" s="4">
        <v>37.840000000000003</v>
      </c>
      <c r="AF90" s="4">
        <v>39.200000000000003</v>
      </c>
      <c r="AG90" s="4">
        <v>38.65</v>
      </c>
      <c r="AH90" s="4">
        <v>37.14</v>
      </c>
      <c r="AI90" s="4">
        <v>36.57</v>
      </c>
      <c r="AJ90" s="4">
        <v>34.770000000000003</v>
      </c>
      <c r="AK90" s="4">
        <v>36.42</v>
      </c>
      <c r="AL90" s="4">
        <v>36.770000000000003</v>
      </c>
      <c r="AM90" s="4">
        <v>38</v>
      </c>
      <c r="AN90" s="4">
        <v>39.99</v>
      </c>
      <c r="AO90" s="4">
        <v>40.75</v>
      </c>
      <c r="AP90" s="4">
        <v>39.29</v>
      </c>
      <c r="AQ90" s="4">
        <v>38.840000000000003</v>
      </c>
      <c r="AR90" s="4">
        <v>38.020000000000003</v>
      </c>
      <c r="AS90" s="4">
        <v>37.67</v>
      </c>
      <c r="AT90" s="4">
        <v>38.950000000000003</v>
      </c>
      <c r="AU90" s="4">
        <v>41.31</v>
      </c>
      <c r="AV90" s="4">
        <v>40.880000000000003</v>
      </c>
      <c r="AW90" s="4">
        <v>40.4</v>
      </c>
      <c r="AX90" s="4">
        <v>38.99</v>
      </c>
      <c r="AY90" s="12">
        <v>40.5</v>
      </c>
      <c r="AZ90" s="12">
        <v>42.39</v>
      </c>
      <c r="BA90" s="12">
        <v>43.99</v>
      </c>
      <c r="BB90" s="15">
        <v>44.15</v>
      </c>
      <c r="BC90" s="52">
        <v>47.59</v>
      </c>
      <c r="BD90" s="52">
        <v>49.5</v>
      </c>
      <c r="BE90" s="52">
        <v>52.07</v>
      </c>
      <c r="BF90" s="52">
        <v>52.51</v>
      </c>
      <c r="BG90" s="67">
        <v>52.99</v>
      </c>
      <c r="BH90" s="52">
        <v>53.5</v>
      </c>
      <c r="BI90" s="52">
        <v>54.18</v>
      </c>
      <c r="BJ90" s="52">
        <v>56.66</v>
      </c>
      <c r="BK90" s="52">
        <v>52.35</v>
      </c>
      <c r="BL90" s="52">
        <v>51.81</v>
      </c>
      <c r="BM90" s="52">
        <v>51.3</v>
      </c>
      <c r="BN90" s="52">
        <v>52.27</v>
      </c>
      <c r="BO90" s="52" cm="1">
        <f t="array" aca="1" ref="BO90" ca="1">_FV(EC90,"Preço")</f>
        <v>52.27</v>
      </c>
      <c r="BP90" s="66" t="s">
        <v>16</v>
      </c>
      <c r="BQ90" s="36" cm="1">
        <f t="array" aca="1" ref="BQ90" ca="1">_FV(EC90,"Média de volume",TRUE)</f>
        <v>1637490</v>
      </c>
      <c r="BR90" s="36">
        <v>2069400</v>
      </c>
      <c r="BS90" s="36" cm="1">
        <f t="array" aca="1" ref="BS90" ca="1">_FV(EC90,"Volume")</f>
        <v>2069400</v>
      </c>
      <c r="BT90" s="24" cm="1">
        <f t="array" aca="1" ref="BT90" ca="1">_FV(EC90,"Beta")</f>
        <v>0.84219999999999995</v>
      </c>
      <c r="BU90" s="71" cm="1">
        <f t="array" aca="1" ref="BU90" ca="1">_FV(EC90,"Variação (%)",TRUE)</f>
        <v>7.3229999999999996E-3</v>
      </c>
      <c r="BW90" s="17" cm="1">
        <f t="array" aca="1" ref="BW90" ca="1">_FV(EC90,"Baixo")</f>
        <v>51.95</v>
      </c>
      <c r="BX90" s="17" cm="1">
        <f t="array" aca="1" ref="BX90" ca="1">_FV(EC90,"Alto")</f>
        <v>52.64</v>
      </c>
      <c r="BY90" s="24"/>
      <c r="BZ90" s="63">
        <f ca="1">SQRT(22.5*(BO90/VLOOKUP(BP90,Fundamentus!A:U,3,FALSE))*(BO90/VLOOKUP(BP90,Fundamentus!A:U,4,FALSE)))</f>
        <v>46.06833270561156</v>
      </c>
      <c r="CB90" s="62">
        <f t="shared" ca="1" si="112"/>
        <v>0</v>
      </c>
      <c r="CC90" s="8"/>
      <c r="CD90" s="61">
        <f t="shared" si="113"/>
        <v>28.77</v>
      </c>
      <c r="CE90" s="61">
        <f t="shared" si="114"/>
        <v>56.66</v>
      </c>
      <c r="CF90" s="61">
        <f t="shared" si="115"/>
        <v>38.905909090909098</v>
      </c>
      <c r="CG90" s="14"/>
      <c r="CH90" s="35">
        <f t="shared" si="98"/>
        <v>47.889336114234027</v>
      </c>
      <c r="CI90" s="15">
        <f t="shared" si="116"/>
        <v>51.745000000000005</v>
      </c>
      <c r="CJ90" s="35">
        <f t="shared" si="99"/>
        <v>55.600663885765982</v>
      </c>
      <c r="CL90" s="14"/>
      <c r="CM90" s="17">
        <f t="shared" si="100"/>
        <v>7.2500000000000036</v>
      </c>
      <c r="CN90" s="17">
        <f t="shared" si="101"/>
        <v>18.010000000000002</v>
      </c>
      <c r="CO90" s="17">
        <f t="shared" si="102"/>
        <v>35.14</v>
      </c>
      <c r="CP90" s="38">
        <f t="shared" si="117"/>
        <v>45.9</v>
      </c>
      <c r="CQ90" s="17">
        <f t="shared" si="103"/>
        <v>63.03</v>
      </c>
      <c r="CR90" s="17">
        <f t="shared" si="104"/>
        <v>73.789999999999992</v>
      </c>
      <c r="CS90" s="17">
        <f t="shared" si="105"/>
        <v>90.919999999999987</v>
      </c>
      <c r="CT90" s="2" cm="1">
        <f t="array" aca="1" ref="CT90" ca="1">MAX(_xlfn._xlws.FILTER(CM90:CS90,CM90:CS90&lt;BO90))</f>
        <v>45.9</v>
      </c>
      <c r="CU90" s="2" cm="1">
        <f t="array" aca="1" ref="CU90" ca="1">MIN(_xlfn._xlws.FILTER($CM90:$CS90,$CM90:$CS90&gt;BO90))</f>
        <v>63.03</v>
      </c>
      <c r="CV90" s="16">
        <f t="shared" ca="1" si="119"/>
        <v>0.37320261437908497</v>
      </c>
      <c r="CW90" s="20">
        <f t="shared" ca="1" si="120"/>
        <v>-0.18660130718954249</v>
      </c>
      <c r="CX90" s="20">
        <f t="shared" ca="1" si="121"/>
        <v>-0.12440087145969499</v>
      </c>
      <c r="CY90" s="20">
        <f t="shared" ca="1" si="122"/>
        <v>-7.4640522875816989E-2</v>
      </c>
      <c r="CZ90" s="20">
        <f t="shared" ca="1" si="123"/>
        <v>-4.1466957153231662E-2</v>
      </c>
      <c r="DA90" s="20">
        <f t="shared" ca="1" si="124"/>
        <v>-2.1953094963475587E-2</v>
      </c>
      <c r="DB90" s="20">
        <f t="shared" ca="1" si="125"/>
        <v>-1.1309170132699544E-2</v>
      </c>
      <c r="DC90" s="20">
        <f t="shared" ca="1" si="126"/>
        <v>-5.7415786827551534E-3</v>
      </c>
      <c r="DD90" s="21">
        <f t="shared" ca="1" si="127"/>
        <v>5.7415786827551534E-3</v>
      </c>
      <c r="DE90" s="21">
        <f t="shared" ca="1" si="128"/>
        <v>1.1309170132699544E-2</v>
      </c>
      <c r="DF90" s="21">
        <f t="shared" ca="1" si="129"/>
        <v>2.1953094963475587E-2</v>
      </c>
      <c r="DG90" s="21">
        <f t="shared" ca="1" si="130"/>
        <v>4.1466957153231662E-2</v>
      </c>
      <c r="DH90" s="21">
        <f t="shared" ca="1" si="131"/>
        <v>7.4640522875816989E-2</v>
      </c>
      <c r="DI90" s="21">
        <f t="shared" ca="1" si="132"/>
        <v>0.12440087145969499</v>
      </c>
      <c r="DJ90" s="21">
        <f t="shared" ca="1" si="133"/>
        <v>0.18660130718954249</v>
      </c>
      <c r="DL90" s="16" cm="1">
        <f t="array" aca="1" ref="DL90" ca="1">MAX(_xlfn._xlws.FILTER(CW90:DJ90,CW90:DJ90&lt;BU90))</f>
        <v>5.7415786827551534E-3</v>
      </c>
      <c r="DM90" s="16" cm="1">
        <f t="array" aca="1" ref="DM90" ca="1">MIN(_xlfn._xlws.FILTER(CW90:DJ90,CW90:DJ90&gt;BU90))</f>
        <v>1.1309170132699544E-2</v>
      </c>
      <c r="DN90" s="2" cm="1">
        <f t="array" aca="1" ref="DN90" ca="1">_FV(EC90,"Fechamento anterior",TRUE)</f>
        <v>51.89</v>
      </c>
      <c r="DO90" s="28">
        <f t="shared" ca="1" si="106"/>
        <v>0.28407346142436829</v>
      </c>
      <c r="DP90" s="15">
        <f t="shared" ca="1" si="134"/>
        <v>52.187930517848166</v>
      </c>
      <c r="DQ90" s="15">
        <f t="shared" ca="1" si="135"/>
        <v>52.476832838185778</v>
      </c>
      <c r="DR90" s="9"/>
      <c r="DS90" s="9"/>
      <c r="DT90" s="9"/>
      <c r="DU90" s="89">
        <v>5.5362494301579119E-3</v>
      </c>
      <c r="DV90" s="89">
        <f t="shared" ca="1" si="107"/>
        <v>5.567591449944391E-3</v>
      </c>
      <c r="DW90" s="72">
        <f t="shared" ca="1" si="108"/>
        <v>0.13616332116970836</v>
      </c>
      <c r="DX90" s="37"/>
      <c r="DY90" s="35">
        <f t="shared" si="118"/>
        <v>1.9278319428829875</v>
      </c>
      <c r="DZ90" s="56"/>
      <c r="EA90" s="56"/>
      <c r="EC90" s="2" t="e" vm="90">
        <v>#VALUE!</v>
      </c>
      <c r="EE90" s="10" cm="1">
        <f t="array" aca="1" ref="EE90" ca="1">_FV(EC90,"Ações em circulação",TRUE)</f>
        <v>646586100</v>
      </c>
      <c r="EF90" s="18">
        <f>VLOOKUP(BP90,Fundamentus!A:U,5,FALSE)</f>
        <v>0.92900000000000005</v>
      </c>
      <c r="EG90" s="2">
        <f t="shared" ca="1" si="109"/>
        <v>36380038156.08181</v>
      </c>
      <c r="EH90" s="17">
        <v>2881299021.9616795</v>
      </c>
      <c r="EI90" s="17">
        <f t="shared" ca="1" si="110"/>
        <v>2881299021.9616795</v>
      </c>
      <c r="EK90" s="16">
        <f t="shared" ca="1" si="97"/>
        <v>0</v>
      </c>
      <c r="EL90" s="32" t="str">
        <f>IF(VLOOKUP(BP90,Fundamentus!A:U,3,FALSE)&lt;15,"Bom",IF(VLOOKUP(BP90,Fundamentus!A:U,3,FALSE)&gt;15,"Ruim","n/a"))</f>
        <v>Bom</v>
      </c>
      <c r="EM90" s="28" t="str">
        <f>IF(VLOOKUP(BP90,Fundamentus!A:U,4,FALSE)&lt;1,"Baixo",IF(VLOOKUP(BP90,Fundamentus!A:U,4,FALSE)&lt;1.5,"Moderado",IF(VLOOKUP(BP90,Fundamentus!A:U,4,FALSE)&gt;1.5,"Alto","n/a")))</f>
        <v>Alto</v>
      </c>
      <c r="EN90" s="17" t="str">
        <f>IF(VLOOKUP(BP90,Fundamentus!A:U,8,FALSE)&lt;0,"Risco elevado",IF(VLOOKUP(BP90,Fundamentus!A:U,8,FALSE)&lt;1,"Saudável",IF(VLOOKUP(BP90,Fundamentus!A:U,8,FALSE)&lt;3,"Estável",IF(VLOOKUP(BP90,Fundamentus!A:U,8,FALSE)&gt;3,"Alerta","n/a"))))</f>
        <v>Alerta</v>
      </c>
      <c r="EO90" s="28" t="str">
        <f t="shared" si="111"/>
        <v>Ruim</v>
      </c>
      <c r="EP90" s="17" t="str">
        <f>IF(VLOOKUP(BP90,Fundamentus!A:U,12,FALSE)&lt;2,"Subvalorizada",IF(VLOOKUP(BP90,Fundamentus!A:U,12,FALSE)&lt;6,"Muita barata",IF(VLOOKUP(BP90,Fundamentus!A:U,12,FALSE)&lt;6,"Barata",IF(VLOOKUP(BP90,Fundamentus!A:U,12,FALSE)&lt;8,"Atrativa",IF(VLOOKUP(BP90,Fundamentus!A:U,12,FALSE)&gt;8,"Supervalorizada","n/a")))))</f>
        <v>Subvalorizada</v>
      </c>
      <c r="ER90" s="17" t="str">
        <f>IF(VLOOKUP(BP90,Fundamentus!A:U,17,FALSE)&lt;0.1,"Fraco retorno",IF(VLOOKUP(BP90,Fundamentus!A:U,17,FALSE)&gt;0.1,"Bom retorno","n/a"))</f>
        <v>Bom retorno</v>
      </c>
      <c r="ES90" s="17" t="str">
        <f>IF(VLOOKUP(BP90,Fundamentus!A:U,16,FALSE)&lt;0.1,"Ineficiente",IF(VLOOKUP(BP90,Fundamentus!A:U,16,FALSE)&gt;0.1,"Eficiente","n/a"))</f>
        <v>Eficiente</v>
      </c>
      <c r="ET90" s="33" t="str">
        <f>IF(VLOOKUP(BP90,Fundamentus!A:U,16,FALSE)&lt;0.1,"Oper. Ineficiente",IF(VLOOKUP(BP90,Fundamentus!A:U,16,FALSE)&gt;0.1,"Oper.Eficiente","n/a"))</f>
        <v>Oper.Eficiente</v>
      </c>
      <c r="EU90" s="34">
        <f>VLOOKUP(BP90,Fundamentus!A:U,14,FALSE)</f>
        <v>7.9200000000000007E-2</v>
      </c>
      <c r="EV90" s="17" t="str">
        <f>IF(VLOOKUP(BP90,Fundamentus!A:U,21,FALSE)&lt;0,"Negativo",IF(VLOOKUP(BP90,Fundamentus!A:U,21,FALSE)&lt;0.05,"Fraco",IF(VLOOKUP(BP90,Fundamentus!A:U,21,FALSE)&lt;0.1,"Bom",IF(VLOOKUP(BP90,Fundamentus!A:U,21,FALSE)&gt;0.1,"Muito bom","n/a"))))</f>
        <v>Muito bom</v>
      </c>
      <c r="EX90" s="29" t="str">
        <f>IF(VLOOKUP(BP90,Fundamentus!A:U,15,FALSE)&gt;1,"Bom",IF(VLOOKUP(BP90,Fundamentus!A:U,15,FALSE)&lt;1,"Ruim","n/a"))</f>
        <v>Bom</v>
      </c>
      <c r="EY90" s="17" t="str">
        <f>IF(VLOOKUP(BP90,Fundamentus!A:U,20,FALSE)&lt;0.5,"Baixa",IF(VLOOKUP(BP90,Fundamentus!A:U,20,FALSE)&lt;1,"Moderada",IF(VLOOKUP(BP90,Fundamentus!A:U,20,FALSE)&lt;2,"Alerta",IF(VLOOKUP(BP90,Fundamentus!A:U,20,FALSE)&gt;2,"Alta","n/a"))))</f>
        <v>Baixa</v>
      </c>
      <c r="EZ90" s="10">
        <v>4</v>
      </c>
    </row>
    <row r="91" spans="1:156" s="2" customFormat="1" ht="11.25" x14ac:dyDescent="0.2">
      <c r="A91" s="4">
        <v>1.1499999999999999</v>
      </c>
      <c r="B91" s="4">
        <v>1.08</v>
      </c>
      <c r="C91" s="4">
        <v>1.05</v>
      </c>
      <c r="D91" s="4">
        <v>0.99</v>
      </c>
      <c r="E91" s="4">
        <v>1.01</v>
      </c>
      <c r="F91" s="4">
        <v>0.99</v>
      </c>
      <c r="G91" s="4">
        <v>0.96</v>
      </c>
      <c r="H91" s="4">
        <v>0.91</v>
      </c>
      <c r="I91" s="4">
        <v>0.91</v>
      </c>
      <c r="J91" s="4">
        <v>0.91</v>
      </c>
      <c r="K91" s="4">
        <v>0.91</v>
      </c>
      <c r="L91" s="4">
        <v>0.87</v>
      </c>
      <c r="M91" s="4">
        <v>0.88</v>
      </c>
      <c r="N91" s="4">
        <v>0.87</v>
      </c>
      <c r="O91" s="4">
        <v>0.82</v>
      </c>
      <c r="P91" s="4">
        <v>0.98</v>
      </c>
      <c r="Q91" s="4">
        <v>1.01</v>
      </c>
      <c r="R91" s="4">
        <v>0.99</v>
      </c>
      <c r="S91" s="4">
        <v>1.07</v>
      </c>
      <c r="T91" s="4">
        <v>1.02</v>
      </c>
      <c r="U91" s="4">
        <v>0.96</v>
      </c>
      <c r="V91" s="4">
        <v>1.1100000000000001</v>
      </c>
      <c r="W91" s="4">
        <v>1.05</v>
      </c>
      <c r="X91" s="4">
        <v>1.1299999999999999</v>
      </c>
      <c r="Y91" s="4">
        <v>1.1599999999999999</v>
      </c>
      <c r="Z91" s="4">
        <v>1.1499999999999999</v>
      </c>
      <c r="AA91" s="4">
        <v>1.05</v>
      </c>
      <c r="AB91" s="4">
        <v>1.1000000000000001</v>
      </c>
      <c r="AC91" s="4">
        <v>0.99</v>
      </c>
      <c r="AD91" s="4">
        <v>0.99</v>
      </c>
      <c r="AE91" s="4">
        <v>0.98</v>
      </c>
      <c r="AF91" s="4">
        <v>0.93</v>
      </c>
      <c r="AG91" s="4">
        <v>0.91</v>
      </c>
      <c r="AH91" s="4">
        <v>0.97</v>
      </c>
      <c r="AI91" s="4">
        <v>0.93</v>
      </c>
      <c r="AJ91" s="4">
        <v>0.93</v>
      </c>
      <c r="AK91" s="4">
        <v>0.94</v>
      </c>
      <c r="AL91" s="4">
        <v>0.91</v>
      </c>
      <c r="AM91" s="4">
        <v>0.88</v>
      </c>
      <c r="AN91" s="4">
        <v>0.93</v>
      </c>
      <c r="AO91" s="4">
        <v>1.02</v>
      </c>
      <c r="AP91" s="4">
        <v>0.96</v>
      </c>
      <c r="AQ91" s="4">
        <v>0.84</v>
      </c>
      <c r="AR91" s="4">
        <v>0.83</v>
      </c>
      <c r="AS91" s="4">
        <v>0.88</v>
      </c>
      <c r="AT91" s="4">
        <v>0.87</v>
      </c>
      <c r="AU91" s="4">
        <v>0.96</v>
      </c>
      <c r="AV91" s="4">
        <v>1.01</v>
      </c>
      <c r="AW91" s="4">
        <v>0.93</v>
      </c>
      <c r="AX91" s="4">
        <v>0.86</v>
      </c>
      <c r="AY91" s="12">
        <v>0.87</v>
      </c>
      <c r="AZ91" s="12">
        <v>0.83</v>
      </c>
      <c r="BA91" s="12">
        <v>0.82</v>
      </c>
      <c r="BB91" s="15">
        <v>0.83</v>
      </c>
      <c r="BC91" s="52">
        <v>0.86</v>
      </c>
      <c r="BD91" s="52">
        <v>0.84</v>
      </c>
      <c r="BE91" s="52">
        <v>0.84</v>
      </c>
      <c r="BF91" s="52">
        <v>1.26</v>
      </c>
      <c r="BG91" s="67">
        <v>1.1200000000000001</v>
      </c>
      <c r="BH91" s="52">
        <v>1.1100000000000001</v>
      </c>
      <c r="BI91" s="52">
        <v>0.88</v>
      </c>
      <c r="BJ91" s="52">
        <v>0.95</v>
      </c>
      <c r="BK91" s="52">
        <v>0.99</v>
      </c>
      <c r="BL91" s="52">
        <v>1.31</v>
      </c>
      <c r="BM91" s="52">
        <v>1.1499999999999999</v>
      </c>
      <c r="BN91" s="52">
        <v>1.1499999999999999</v>
      </c>
      <c r="BO91" s="52" cm="1">
        <f t="array" aca="1" ref="BO91" ca="1">_FV(EC91,"Preço")</f>
        <v>1.1499999999999999</v>
      </c>
      <c r="BP91" s="69" t="s">
        <v>88</v>
      </c>
      <c r="BQ91" s="36" cm="1">
        <f t="array" aca="1" ref="BQ91" ca="1">_FV(EC91,"Média de volume",TRUE)</f>
        <v>63110</v>
      </c>
      <c r="BR91" s="36">
        <v>31400</v>
      </c>
      <c r="BS91" s="36" cm="1">
        <f t="array" aca="1" ref="BS91" ca="1">_FV(EC91,"Volume")</f>
        <v>31400</v>
      </c>
      <c r="BT91" s="24" cm="1">
        <f t="array" aca="1" ref="BT91" ca="1">_FV(EC91,"Beta")</f>
        <v>1.2271000000000001</v>
      </c>
      <c r="BU91" s="71" cm="1">
        <f t="array" aca="1" ref="BU91" ca="1">_FV(EC91,"Variação (%)",TRUE)</f>
        <v>-1.7094000000000002E-2</v>
      </c>
      <c r="BW91" s="17" cm="1">
        <f t="array" aca="1" ref="BW91" ca="1">_FV(EC91,"Baixo")</f>
        <v>1.1399999999999999</v>
      </c>
      <c r="BX91" s="17" cm="1">
        <f t="array" aca="1" ref="BX91" ca="1">_FV(EC91,"Alto")</f>
        <v>1.19</v>
      </c>
      <c r="BY91" s="24"/>
      <c r="BZ91" s="63" t="e">
        <f ca="1">SQRT(22.5*(BO91/VLOOKUP(BP91,Fundamentus!A:U,3,FALSE))*(BO91/VLOOKUP(BP91,Fundamentus!A:U,4,FALSE)))</f>
        <v>#NUM!</v>
      </c>
      <c r="CB91" s="62">
        <f t="shared" ca="1" si="112"/>
        <v>0</v>
      </c>
      <c r="CC91" s="8"/>
      <c r="CD91" s="61">
        <f t="shared" si="113"/>
        <v>0.82</v>
      </c>
      <c r="CE91" s="61">
        <f t="shared" si="114"/>
        <v>1.31</v>
      </c>
      <c r="CF91" s="61">
        <f t="shared" si="115"/>
        <v>0.97499999999999987</v>
      </c>
      <c r="CG91" s="14"/>
      <c r="CH91" s="35">
        <f t="shared" si="98"/>
        <v>0.97200775205443934</v>
      </c>
      <c r="CI91" s="15">
        <f t="shared" si="116"/>
        <v>1.2299999999999898</v>
      </c>
      <c r="CJ91" s="35">
        <f t="shared" si="99"/>
        <v>1.4879922479455403</v>
      </c>
      <c r="CL91" s="14"/>
      <c r="CM91" s="17">
        <f t="shared" si="100"/>
        <v>0.38666666666666638</v>
      </c>
      <c r="CN91" s="17">
        <f t="shared" si="101"/>
        <v>0.60333333333333317</v>
      </c>
      <c r="CO91" s="17">
        <f t="shared" si="102"/>
        <v>0.87666666666666648</v>
      </c>
      <c r="CP91" s="38">
        <f t="shared" si="117"/>
        <v>1.0933333333333333</v>
      </c>
      <c r="CQ91" s="17">
        <f t="shared" si="103"/>
        <v>1.3666666666666667</v>
      </c>
      <c r="CR91" s="17">
        <f t="shared" si="104"/>
        <v>1.5833333333333335</v>
      </c>
      <c r="CS91" s="17">
        <f t="shared" si="105"/>
        <v>1.8566666666666667</v>
      </c>
      <c r="CT91" s="2" cm="1">
        <f t="array" aca="1" ref="CT91" ca="1">MAX(_xlfn._xlws.FILTER(CM91:CS91,CM91:CS91&lt;BO91))</f>
        <v>1.0933333333333333</v>
      </c>
      <c r="CU91" s="2" cm="1">
        <f t="array" aca="1" ref="CU91" ca="1">MIN(_xlfn._xlws.FILTER($CM91:$CS91,$CM91:$CS91&gt;BO91))</f>
        <v>1.3666666666666667</v>
      </c>
      <c r="CV91" s="16">
        <f t="shared" ca="1" si="119"/>
        <v>0.25</v>
      </c>
      <c r="CW91" s="20">
        <f t="shared" ca="1" si="120"/>
        <v>-0.125</v>
      </c>
      <c r="CX91" s="20">
        <f t="shared" ca="1" si="121"/>
        <v>-8.3333333333333329E-2</v>
      </c>
      <c r="CY91" s="20">
        <f t="shared" ca="1" si="122"/>
        <v>-0.05</v>
      </c>
      <c r="CZ91" s="20">
        <f t="shared" ca="1" si="123"/>
        <v>-2.7777777777777776E-2</v>
      </c>
      <c r="DA91" s="20">
        <f t="shared" ca="1" si="124"/>
        <v>-1.4705882352941176E-2</v>
      </c>
      <c r="DB91" s="20">
        <f t="shared" ca="1" si="125"/>
        <v>-7.575757575757576E-3</v>
      </c>
      <c r="DC91" s="20">
        <f t="shared" ca="1" si="126"/>
        <v>-3.8461538461538464E-3</v>
      </c>
      <c r="DD91" s="21">
        <f t="shared" ca="1" si="127"/>
        <v>3.8461538461538464E-3</v>
      </c>
      <c r="DE91" s="21">
        <f t="shared" ca="1" si="128"/>
        <v>7.575757575757576E-3</v>
      </c>
      <c r="DF91" s="21">
        <f t="shared" ca="1" si="129"/>
        <v>1.4705882352941176E-2</v>
      </c>
      <c r="DG91" s="21">
        <f t="shared" ca="1" si="130"/>
        <v>2.7777777777777776E-2</v>
      </c>
      <c r="DH91" s="21">
        <f t="shared" ca="1" si="131"/>
        <v>0.05</v>
      </c>
      <c r="DI91" s="21">
        <f t="shared" ca="1" si="132"/>
        <v>8.3333333333333329E-2</v>
      </c>
      <c r="DJ91" s="21">
        <f t="shared" ca="1" si="133"/>
        <v>0.125</v>
      </c>
      <c r="DL91" s="16" cm="1">
        <f t="array" aca="1" ref="DL91" ca="1">MAX(_xlfn._xlws.FILTER(CW91:DJ91,CW91:DJ91&lt;BU91))</f>
        <v>-2.7777777777777776E-2</v>
      </c>
      <c r="DM91" s="16" cm="1">
        <f t="array" aca="1" ref="DM91" ca="1">MIN(_xlfn._xlws.FILTER(CW91:DJ91,CW91:DJ91&gt;BU91))</f>
        <v>-1.4705882352941176E-2</v>
      </c>
      <c r="DN91" s="2" cm="1">
        <f t="array" aca="1" ref="DN91" ca="1">_FV(EC91,"Fechamento anterior",TRUE)</f>
        <v>1.17</v>
      </c>
      <c r="DO91" s="28">
        <f t="shared" ca="1" si="106"/>
        <v>0.81730769230768519</v>
      </c>
      <c r="DP91" s="15">
        <f t="shared" ca="1" si="134"/>
        <v>1.1375</v>
      </c>
      <c r="DQ91" s="15">
        <f t="shared" ca="1" si="135"/>
        <v>1.1527941176470589</v>
      </c>
      <c r="DR91" s="9"/>
      <c r="DS91" s="9"/>
      <c r="DT91" s="9"/>
      <c r="DU91" s="89">
        <v>2.5322997416020697E-2</v>
      </c>
      <c r="DV91" s="89">
        <f t="shared" ca="1" si="107"/>
        <v>1.30718954248366E-2</v>
      </c>
      <c r="DW91" s="72">
        <f t="shared" ca="1" si="108"/>
        <v>-0.31008683647298563</v>
      </c>
      <c r="DX91" s="37"/>
      <c r="DY91" s="35">
        <f t="shared" si="118"/>
        <v>0.12899612397277521</v>
      </c>
      <c r="DZ91" s="56"/>
      <c r="EA91" s="56"/>
      <c r="EC91" s="2" t="e" vm="91">
        <v>#VALUE!</v>
      </c>
      <c r="EE91" s="10" cm="1">
        <f t="array" aca="1" ref="EE91" ca="1">_FV(EC91,"Ações em circulação",TRUE)</f>
        <v>124061300</v>
      </c>
      <c r="EF91" s="18">
        <f>VLOOKUP(BP91,Fundamentus!A:U,5,FALSE)</f>
        <v>1.609</v>
      </c>
      <c r="EG91" s="2">
        <f t="shared" ca="1" si="109"/>
        <v>88670288.999378502</v>
      </c>
      <c r="EH91" s="17">
        <v>-33224757.288067121</v>
      </c>
      <c r="EI91" s="17">
        <f t="shared" ca="1" si="110"/>
        <v>-33224757.288067121</v>
      </c>
      <c r="EK91" s="16">
        <f t="shared" ca="1" si="97"/>
        <v>0</v>
      </c>
      <c r="EL91" s="32" t="str">
        <f>IF(VLOOKUP(BP91,Fundamentus!A:U,3,FALSE)&lt;15,"Bom",IF(VLOOKUP(BP91,Fundamentus!A:U,3,FALSE)&gt;15,"Ruim","n/a"))</f>
        <v>Bom</v>
      </c>
      <c r="EM91" s="28" t="str">
        <f>IF(VLOOKUP(BP91,Fundamentus!A:U,4,FALSE)&lt;1,"Baixo",IF(VLOOKUP(BP91,Fundamentus!A:U,4,FALSE)&lt;1.5,"Moderado",IF(VLOOKUP(BP91,Fundamentus!A:U,4,FALSE)&gt;1.5,"Alto","n/a")))</f>
        <v>Baixo</v>
      </c>
      <c r="EN91" s="17" t="str">
        <f>IF(VLOOKUP(BP91,Fundamentus!A:U,8,FALSE)&lt;0,"Risco elevado",IF(VLOOKUP(BP91,Fundamentus!A:U,8,FALSE)&lt;1,"Saudável",IF(VLOOKUP(BP91,Fundamentus!A:U,8,FALSE)&lt;3,"Estável",IF(VLOOKUP(BP91,Fundamentus!A:U,8,FALSE)&gt;3,"Alerta","n/a"))))</f>
        <v>Risco elevado</v>
      </c>
      <c r="EO91" s="28" t="str">
        <f t="shared" si="111"/>
        <v>Bom</v>
      </c>
      <c r="EP91" s="17" t="str">
        <f>IF(VLOOKUP(BP91,Fundamentus!A:U,12,FALSE)&lt;2,"Subvalorizada",IF(VLOOKUP(BP91,Fundamentus!A:U,12,FALSE)&lt;6,"Muita barata",IF(VLOOKUP(BP91,Fundamentus!A:U,12,FALSE)&lt;6,"Barata",IF(VLOOKUP(BP91,Fundamentus!A:U,12,FALSE)&lt;8,"Atrativa",IF(VLOOKUP(BP91,Fundamentus!A:U,12,FALSE)&gt;8,"Supervalorizada","n/a")))))</f>
        <v>Supervalorizada</v>
      </c>
      <c r="ER91" s="17" t="str">
        <f>IF(VLOOKUP(BP91,Fundamentus!A:U,17,FALSE)&lt;0.1,"Fraco retorno",IF(VLOOKUP(BP91,Fundamentus!A:U,17,FALSE)&gt;0.1,"Bom retorno","n/a"))</f>
        <v>Fraco retorno</v>
      </c>
      <c r="ES91" s="17" t="str">
        <f>IF(VLOOKUP(BP91,Fundamentus!A:U,16,FALSE)&lt;0.1,"Ineficiente",IF(VLOOKUP(BP91,Fundamentus!A:U,16,FALSE)&gt;0.1,"Eficiente","n/a"))</f>
        <v>Ineficiente</v>
      </c>
      <c r="ET91" s="33" t="str">
        <f>IF(VLOOKUP(BP91,Fundamentus!A:U,16,FALSE)&lt;0.1,"Oper. Ineficiente",IF(VLOOKUP(BP91,Fundamentus!A:U,16,FALSE)&gt;0.1,"Oper.Eficiente","n/a"))</f>
        <v>Oper. Ineficiente</v>
      </c>
      <c r="EU91" s="34">
        <f>VLOOKUP(BP91,Fundamentus!A:U,14,FALSE)</f>
        <v>-0.37469999999999998</v>
      </c>
      <c r="EV91" s="17" t="str">
        <f>IF(VLOOKUP(BP91,Fundamentus!A:U,21,FALSE)&lt;0,"Negativo",IF(VLOOKUP(BP91,Fundamentus!A:U,21,FALSE)&lt;0.05,"Fraco",IF(VLOOKUP(BP91,Fundamentus!A:U,21,FALSE)&lt;0.1,"Bom",IF(VLOOKUP(BP91,Fundamentus!A:U,21,FALSE)&gt;0.1,"Muito bom","n/a"))))</f>
        <v>Muito bom</v>
      </c>
      <c r="EX91" s="29" t="str">
        <f>IF(VLOOKUP(BP91,Fundamentus!A:U,15,FALSE)&gt;1,"Bom",IF(VLOOKUP(BP91,Fundamentus!A:U,15,FALSE)&lt;1,"Ruim","n/a"))</f>
        <v>Ruim</v>
      </c>
      <c r="EY91" s="17" t="str">
        <f>IF(VLOOKUP(BP91,Fundamentus!A:U,20,FALSE)&lt;0.5,"Baixa",IF(VLOOKUP(BP91,Fundamentus!A:U,20,FALSE)&lt;1,"Moderada",IF(VLOOKUP(BP91,Fundamentus!A:U,20,FALSE)&lt;2,"Alerta",IF(VLOOKUP(BP91,Fundamentus!A:U,20,FALSE)&gt;2,"Alta","n/a"))))</f>
        <v>Alerta</v>
      </c>
      <c r="EZ91" s="10"/>
    </row>
    <row r="92" spans="1:156" s="2" customFormat="1" ht="11.25" x14ac:dyDescent="0.2">
      <c r="A92" s="4">
        <v>53.98</v>
      </c>
      <c r="B92" s="4">
        <v>54</v>
      </c>
      <c r="C92" s="4">
        <v>50.88</v>
      </c>
      <c r="D92" s="4">
        <v>50.5</v>
      </c>
      <c r="E92" s="4">
        <v>49.95</v>
      </c>
      <c r="F92" s="4">
        <v>47.68</v>
      </c>
      <c r="G92" s="4">
        <v>48.63</v>
      </c>
      <c r="H92" s="4">
        <v>48.3</v>
      </c>
      <c r="I92" s="4">
        <v>48.82</v>
      </c>
      <c r="J92" s="4">
        <v>52.29</v>
      </c>
      <c r="K92" s="4">
        <v>51.89</v>
      </c>
      <c r="L92" s="4">
        <v>51.06</v>
      </c>
      <c r="M92" s="4">
        <v>50.25</v>
      </c>
      <c r="N92" s="4">
        <v>51.22</v>
      </c>
      <c r="O92" s="4">
        <v>50</v>
      </c>
      <c r="P92" s="4">
        <v>48.68</v>
      </c>
      <c r="Q92" s="4">
        <v>49.26</v>
      </c>
      <c r="R92" s="4">
        <v>47.28</v>
      </c>
      <c r="S92" s="4">
        <v>47.91</v>
      </c>
      <c r="T92" s="4">
        <v>48.21</v>
      </c>
      <c r="U92" s="4">
        <v>47.86</v>
      </c>
      <c r="V92" s="4">
        <v>47.5</v>
      </c>
      <c r="W92" s="4">
        <v>46.56</v>
      </c>
      <c r="X92" s="4">
        <v>46.58</v>
      </c>
      <c r="Y92" s="4">
        <v>45.84</v>
      </c>
      <c r="Z92" s="4">
        <v>46.02</v>
      </c>
      <c r="AA92" s="4">
        <v>44.14</v>
      </c>
      <c r="AB92" s="4">
        <v>44.5</v>
      </c>
      <c r="AC92" s="4">
        <v>48.71</v>
      </c>
      <c r="AD92" s="4">
        <v>51.13</v>
      </c>
      <c r="AE92" s="4">
        <v>52</v>
      </c>
      <c r="AF92" s="4">
        <v>49.62</v>
      </c>
      <c r="AG92" s="4">
        <v>49.24</v>
      </c>
      <c r="AH92" s="4">
        <v>47.18</v>
      </c>
      <c r="AI92" s="4">
        <v>47.38</v>
      </c>
      <c r="AJ92" s="4">
        <v>44.99</v>
      </c>
      <c r="AK92" s="4">
        <v>44.8</v>
      </c>
      <c r="AL92" s="4">
        <v>45.52</v>
      </c>
      <c r="AM92" s="4">
        <v>47.6</v>
      </c>
      <c r="AN92" s="4">
        <v>49.04</v>
      </c>
      <c r="AO92" s="4">
        <v>47.59</v>
      </c>
      <c r="AP92" s="4">
        <v>47.99</v>
      </c>
      <c r="AQ92" s="4">
        <v>48.39</v>
      </c>
      <c r="AR92" s="4">
        <v>45.47</v>
      </c>
      <c r="AS92" s="4">
        <v>47.18</v>
      </c>
      <c r="AT92" s="4">
        <v>53.5</v>
      </c>
      <c r="AU92" s="4">
        <v>53.244999999999997</v>
      </c>
      <c r="AV92" s="4">
        <v>54.93</v>
      </c>
      <c r="AW92" s="4">
        <v>56.11</v>
      </c>
      <c r="AX92" s="4">
        <v>54.69</v>
      </c>
      <c r="AY92" s="12">
        <v>53</v>
      </c>
      <c r="AZ92" s="12">
        <v>54.36</v>
      </c>
      <c r="BA92" s="12">
        <v>54.57</v>
      </c>
      <c r="BB92" s="15">
        <v>55.14</v>
      </c>
      <c r="BC92" s="52">
        <v>57.54</v>
      </c>
      <c r="BD92" s="52">
        <v>61</v>
      </c>
      <c r="BE92" s="52">
        <v>60.1</v>
      </c>
      <c r="BF92" s="52">
        <v>60.17</v>
      </c>
      <c r="BG92" s="67">
        <v>59.11</v>
      </c>
      <c r="BH92" s="52">
        <v>58.1</v>
      </c>
      <c r="BI92" s="52">
        <v>57.84</v>
      </c>
      <c r="BJ92" s="52">
        <v>59.74</v>
      </c>
      <c r="BK92" s="52">
        <v>58.9</v>
      </c>
      <c r="BL92" s="52">
        <v>56.17</v>
      </c>
      <c r="BM92" s="52">
        <v>55.17</v>
      </c>
      <c r="BN92" s="52">
        <v>55.13</v>
      </c>
      <c r="BO92" s="52" cm="1">
        <f t="array" aca="1" ref="BO92" ca="1">_FV(EC92,"Preço")</f>
        <v>55.13</v>
      </c>
      <c r="BP92" s="69" t="s">
        <v>151</v>
      </c>
      <c r="BQ92" s="36" cm="1">
        <f t="array" aca="1" ref="BQ92" ca="1">_FV(EC92,"Média de volume",TRUE)</f>
        <v>96680</v>
      </c>
      <c r="BR92" s="36">
        <v>121000</v>
      </c>
      <c r="BS92" s="36" cm="1">
        <f t="array" aca="1" ref="BS92" ca="1">_FV(EC92,"Volume")</f>
        <v>121000</v>
      </c>
      <c r="BT92" s="24" cm="1">
        <f t="array" aca="1" ref="BT92" ca="1">_FV(EC92,"Beta")</f>
        <v>1.2807999999999999</v>
      </c>
      <c r="BU92" s="71" cm="1">
        <f t="array" aca="1" ref="BU92" ca="1">_FV(EC92,"Variação (%)",TRUE)</f>
        <v>2.9110000000000004E-3</v>
      </c>
      <c r="BW92" s="17" cm="1">
        <f t="array" aca="1" ref="BW92" ca="1">_FV(EC92,"Baixo")</f>
        <v>54.49</v>
      </c>
      <c r="BX92" s="17" cm="1">
        <f t="array" aca="1" ref="BX92" ca="1">_FV(EC92,"Alto")</f>
        <v>56.13</v>
      </c>
      <c r="BY92" s="24"/>
      <c r="BZ92" s="63">
        <f ca="1">SQRT(22.5*(BO92/VLOOKUP(BP92,Fundamentus!A:U,3,FALSE))*(BO92/VLOOKUP(BP92,Fundamentus!A:U,4,FALSE)))</f>
        <v>54.738379343145354</v>
      </c>
      <c r="CB92" s="62">
        <f t="shared" ca="1" si="112"/>
        <v>0</v>
      </c>
      <c r="CC92" s="8"/>
      <c r="CD92" s="61">
        <f t="shared" si="113"/>
        <v>44.14</v>
      </c>
      <c r="CE92" s="61">
        <f t="shared" si="114"/>
        <v>61</v>
      </c>
      <c r="CF92" s="61">
        <f t="shared" si="115"/>
        <v>51.092954545454539</v>
      </c>
      <c r="CG92" s="14"/>
      <c r="CH92" s="35">
        <f t="shared" si="98"/>
        <v>49.402370843583682</v>
      </c>
      <c r="CI92" s="15">
        <f t="shared" si="116"/>
        <v>53.265000000000327</v>
      </c>
      <c r="CJ92" s="35">
        <f t="shared" si="99"/>
        <v>57.127629156416972</v>
      </c>
      <c r="CL92" s="14"/>
      <c r="CM92" s="17">
        <f t="shared" si="100"/>
        <v>28.986666666666679</v>
      </c>
      <c r="CN92" s="17">
        <f t="shared" si="101"/>
        <v>36.56333333333334</v>
      </c>
      <c r="CO92" s="17">
        <f t="shared" si="102"/>
        <v>45.846666666666678</v>
      </c>
      <c r="CP92" s="38">
        <f t="shared" si="117"/>
        <v>53.423333333333339</v>
      </c>
      <c r="CQ92" s="17">
        <f t="shared" si="103"/>
        <v>62.706666666666678</v>
      </c>
      <c r="CR92" s="17">
        <f t="shared" si="104"/>
        <v>70.283333333333331</v>
      </c>
      <c r="CS92" s="17">
        <f t="shared" si="105"/>
        <v>79.566666666666677</v>
      </c>
      <c r="CT92" s="2" cm="1">
        <f t="array" aca="1" ref="CT92" ca="1">MAX(_xlfn._xlws.FILTER(CM92:CS92,CM92:CS92&lt;BO92))</f>
        <v>53.423333333333339</v>
      </c>
      <c r="CU92" s="2" cm="1">
        <f t="array" aca="1" ref="CU92" ca="1">MIN(_xlfn._xlws.FILTER($CM92:$CS92,$CM92:$CS92&gt;BO92))</f>
        <v>62.706666666666678</v>
      </c>
      <c r="CV92" s="16">
        <f t="shared" ca="1" si="119"/>
        <v>0.17376926436638174</v>
      </c>
      <c r="CW92" s="20">
        <f t="shared" ca="1" si="120"/>
        <v>-8.6884632183190869E-2</v>
      </c>
      <c r="CX92" s="20">
        <f t="shared" ca="1" si="121"/>
        <v>-5.7923088122127243E-2</v>
      </c>
      <c r="CY92" s="20">
        <f t="shared" ca="1" si="122"/>
        <v>-3.4753852873276349E-2</v>
      </c>
      <c r="CZ92" s="20">
        <f t="shared" ca="1" si="123"/>
        <v>-1.9307696040709081E-2</v>
      </c>
      <c r="DA92" s="20">
        <f t="shared" ca="1" si="124"/>
        <v>-1.0221721433316573E-2</v>
      </c>
      <c r="DB92" s="20">
        <f t="shared" ca="1" si="125"/>
        <v>-5.2657352838297493E-3</v>
      </c>
      <c r="DC92" s="20">
        <f t="shared" ca="1" si="126"/>
        <v>-2.6733732979443343E-3</v>
      </c>
      <c r="DD92" s="21">
        <f t="shared" ca="1" si="127"/>
        <v>2.6733732979443343E-3</v>
      </c>
      <c r="DE92" s="21">
        <f t="shared" ca="1" si="128"/>
        <v>5.2657352838297493E-3</v>
      </c>
      <c r="DF92" s="21">
        <f t="shared" ca="1" si="129"/>
        <v>1.0221721433316573E-2</v>
      </c>
      <c r="DG92" s="21">
        <f t="shared" ca="1" si="130"/>
        <v>1.9307696040709081E-2</v>
      </c>
      <c r="DH92" s="21">
        <f t="shared" ca="1" si="131"/>
        <v>3.4753852873276349E-2</v>
      </c>
      <c r="DI92" s="21">
        <f t="shared" ca="1" si="132"/>
        <v>5.7923088122127243E-2</v>
      </c>
      <c r="DJ92" s="21">
        <f t="shared" ca="1" si="133"/>
        <v>8.6884632183190869E-2</v>
      </c>
      <c r="DL92" s="16" cm="1">
        <f t="array" aca="1" ref="DL92" ca="1">MAX(_xlfn._xlws.FILTER(CW92:DJ92,CW92:DJ92&lt;BU92))</f>
        <v>2.6733732979443343E-3</v>
      </c>
      <c r="DM92" s="16" cm="1">
        <f t="array" aca="1" ref="DM92" ca="1">MIN(_xlfn._xlws.FILTER(CW92:DJ92,CW92:DJ92&gt;BU92))</f>
        <v>5.2657352838297493E-3</v>
      </c>
      <c r="DN92" s="2" cm="1">
        <f t="array" aca="1" ref="DN92" ca="1">_FV(EC92,"Fechamento anterior",TRUE)</f>
        <v>54.97</v>
      </c>
      <c r="DO92" s="28">
        <f t="shared" ca="1" si="106"/>
        <v>9.1540168882744077E-2</v>
      </c>
      <c r="DP92" s="15">
        <f t="shared" ca="1" si="134"/>
        <v>55.116955330187999</v>
      </c>
      <c r="DQ92" s="15">
        <f t="shared" ca="1" si="135"/>
        <v>55.259457468552121</v>
      </c>
      <c r="DR92" s="9"/>
      <c r="DS92" s="9"/>
      <c r="DT92" s="9"/>
      <c r="DU92" s="89">
        <v>5.5106507775282178E-3</v>
      </c>
      <c r="DV92" s="89">
        <f t="shared" ca="1" si="107"/>
        <v>2.592361985885415E-3</v>
      </c>
      <c r="DW92" s="72">
        <f t="shared" ca="1" si="108"/>
        <v>0.48283175124423094</v>
      </c>
      <c r="DX92" s="37"/>
      <c r="DY92" s="35">
        <f t="shared" si="118"/>
        <v>1.9313145782083241</v>
      </c>
      <c r="DZ92" s="56"/>
      <c r="EA92" s="56"/>
      <c r="EC92" s="2" t="e" vm="92">
        <v>#VALUE!</v>
      </c>
      <c r="EE92" s="10" cm="1">
        <f t="array" aca="1" ref="EE92" ca="1">_FV(EC92,"Ações em circulação",TRUE)</f>
        <v>113173300</v>
      </c>
      <c r="EF92" s="18">
        <f>VLOOKUP(BP92,Fundamentus!A:U,5,FALSE)</f>
        <v>1.1120000000000001</v>
      </c>
      <c r="EG92" s="2">
        <f t="shared" ca="1" si="109"/>
        <v>5610830961.3309345</v>
      </c>
      <c r="EH92" s="17">
        <v>648612059.12985599</v>
      </c>
      <c r="EI92" s="17">
        <f t="shared" ca="1" si="110"/>
        <v>648612059.12985599</v>
      </c>
      <c r="EK92" s="16">
        <f t="shared" ca="1" si="97"/>
        <v>0</v>
      </c>
      <c r="EL92" s="32" t="str">
        <f>IF(VLOOKUP(BP92,Fundamentus!A:U,3,FALSE)&lt;15,"Bom",IF(VLOOKUP(BP92,Fundamentus!A:U,3,FALSE)&gt;15,"Ruim","n/a"))</f>
        <v>Bom</v>
      </c>
      <c r="EM92" s="28" t="str">
        <f>IF(VLOOKUP(BP92,Fundamentus!A:U,4,FALSE)&lt;1,"Baixo",IF(VLOOKUP(BP92,Fundamentus!A:U,4,FALSE)&lt;1.5,"Moderado",IF(VLOOKUP(BP92,Fundamentus!A:U,4,FALSE)&gt;1.5,"Alto","n/a")))</f>
        <v>Alto</v>
      </c>
      <c r="EN92" s="17" t="str">
        <f>IF(VLOOKUP(BP92,Fundamentus!A:U,8,FALSE)&lt;0,"Risco elevado",IF(VLOOKUP(BP92,Fundamentus!A:U,8,FALSE)&lt;1,"Saudável",IF(VLOOKUP(BP92,Fundamentus!A:U,8,FALSE)&lt;3,"Estável",IF(VLOOKUP(BP92,Fundamentus!A:U,8,FALSE)&gt;3,"Alerta","n/a"))))</f>
        <v>Alerta</v>
      </c>
      <c r="EO92" s="28" t="str">
        <f t="shared" si="111"/>
        <v>Bom</v>
      </c>
      <c r="EP92" s="17" t="str">
        <f>IF(VLOOKUP(BP92,Fundamentus!A:U,12,FALSE)&lt;2,"Subvalorizada",IF(VLOOKUP(BP92,Fundamentus!A:U,12,FALSE)&lt;6,"Muita barata",IF(VLOOKUP(BP92,Fundamentus!A:U,12,FALSE)&lt;6,"Barata",IF(VLOOKUP(BP92,Fundamentus!A:U,12,FALSE)&lt;8,"Atrativa",IF(VLOOKUP(BP92,Fundamentus!A:U,12,FALSE)&gt;8,"Supervalorizada","n/a")))))</f>
        <v>Atrativa</v>
      </c>
      <c r="ER92" s="17" t="str">
        <f>IF(VLOOKUP(BP92,Fundamentus!A:U,17,FALSE)&lt;0.1,"Fraco retorno",IF(VLOOKUP(BP92,Fundamentus!A:U,17,FALSE)&gt;0.1,"Bom retorno","n/a"))</f>
        <v>Bom retorno</v>
      </c>
      <c r="ES92" s="17" t="str">
        <f>IF(VLOOKUP(BP92,Fundamentus!A:U,16,FALSE)&lt;0.1,"Ineficiente",IF(VLOOKUP(BP92,Fundamentus!A:U,16,FALSE)&gt;0.1,"Eficiente","n/a"))</f>
        <v>Eficiente</v>
      </c>
      <c r="ET92" s="33" t="str">
        <f>IF(VLOOKUP(BP92,Fundamentus!A:U,16,FALSE)&lt;0.1,"Oper. Ineficiente",IF(VLOOKUP(BP92,Fundamentus!A:U,16,FALSE)&gt;0.1,"Oper.Eficiente","n/a"))</f>
        <v>Oper.Eficiente</v>
      </c>
      <c r="EU92" s="34">
        <f>VLOOKUP(BP92,Fundamentus!A:U,14,FALSE)</f>
        <v>0.11559999999999999</v>
      </c>
      <c r="EV92" s="17" t="str">
        <f>IF(VLOOKUP(BP92,Fundamentus!A:U,21,FALSE)&lt;0,"Negativo",IF(VLOOKUP(BP92,Fundamentus!A:U,21,FALSE)&lt;0.05,"Fraco",IF(VLOOKUP(BP92,Fundamentus!A:U,21,FALSE)&lt;0.1,"Bom",IF(VLOOKUP(BP92,Fundamentus!A:U,21,FALSE)&gt;0.1,"Muito bom","n/a"))))</f>
        <v>Fraco</v>
      </c>
      <c r="EX92" s="29" t="str">
        <f>IF(VLOOKUP(BP92,Fundamentus!A:U,15,FALSE)&gt;1,"Bom",IF(VLOOKUP(BP92,Fundamentus!A:U,15,FALSE)&lt;1,"Ruim","n/a"))</f>
        <v>Bom</v>
      </c>
      <c r="EY92" s="17" t="str">
        <f>IF(VLOOKUP(BP92,Fundamentus!A:U,20,FALSE)&lt;0.5,"Baixa",IF(VLOOKUP(BP92,Fundamentus!A:U,20,FALSE)&lt;1,"Moderada",IF(VLOOKUP(BP92,Fundamentus!A:U,20,FALSE)&lt;2,"Alerta",IF(VLOOKUP(BP92,Fundamentus!A:U,20,FALSE)&gt;2,"Alta","n/a"))))</f>
        <v>Moderada</v>
      </c>
      <c r="EZ92" s="10"/>
    </row>
    <row r="93" spans="1:156" s="2" customFormat="1" ht="11.25" x14ac:dyDescent="0.2">
      <c r="A93" s="4">
        <v>14.64</v>
      </c>
      <c r="B93" s="4">
        <v>13.99</v>
      </c>
      <c r="C93" s="4">
        <v>13.65</v>
      </c>
      <c r="D93" s="4">
        <v>13.01</v>
      </c>
      <c r="E93" s="4">
        <v>12.96</v>
      </c>
      <c r="F93" s="4">
        <v>13.48</v>
      </c>
      <c r="G93" s="4">
        <v>13.3</v>
      </c>
      <c r="H93" s="4">
        <v>12.9</v>
      </c>
      <c r="I93" s="4">
        <v>12.91</v>
      </c>
      <c r="J93" s="4">
        <v>13.64</v>
      </c>
      <c r="K93" s="4">
        <v>14.31</v>
      </c>
      <c r="L93" s="4">
        <v>14.23</v>
      </c>
      <c r="M93" s="4">
        <v>13.49</v>
      </c>
      <c r="N93" s="4">
        <v>13.9</v>
      </c>
      <c r="O93" s="4">
        <v>14.18</v>
      </c>
      <c r="P93" s="4">
        <v>14.04</v>
      </c>
      <c r="Q93" s="4">
        <v>14.81</v>
      </c>
      <c r="R93" s="4">
        <v>14.09</v>
      </c>
      <c r="S93" s="4">
        <v>13.76</v>
      </c>
      <c r="T93" s="4">
        <v>14.74</v>
      </c>
      <c r="U93" s="4">
        <v>13.46</v>
      </c>
      <c r="V93" s="4">
        <v>13.47</v>
      </c>
      <c r="W93" s="4">
        <v>13.92</v>
      </c>
      <c r="X93" s="4">
        <v>14.12</v>
      </c>
      <c r="Y93" s="4">
        <v>13.57</v>
      </c>
      <c r="Z93" s="4">
        <v>13.42</v>
      </c>
      <c r="AA93" s="4">
        <v>14.88</v>
      </c>
      <c r="AB93" s="4">
        <v>14.23</v>
      </c>
      <c r="AC93" s="4">
        <v>14.38</v>
      </c>
      <c r="AD93" s="4">
        <v>14.09</v>
      </c>
      <c r="AE93" s="4">
        <v>12.66</v>
      </c>
      <c r="AF93" s="4">
        <v>12.1</v>
      </c>
      <c r="AG93" s="4">
        <v>11.34</v>
      </c>
      <c r="AH93" s="4">
        <v>11.19</v>
      </c>
      <c r="AI93" s="4">
        <v>10.91</v>
      </c>
      <c r="AJ93" s="4">
        <v>10.59</v>
      </c>
      <c r="AK93" s="4">
        <v>10.69</v>
      </c>
      <c r="AL93" s="4">
        <v>11.28</v>
      </c>
      <c r="AM93" s="4">
        <v>11.42</v>
      </c>
      <c r="AN93" s="4">
        <v>12.7</v>
      </c>
      <c r="AO93" s="4">
        <v>12.64</v>
      </c>
      <c r="AP93" s="4">
        <v>13.35</v>
      </c>
      <c r="AQ93" s="4">
        <v>13.77</v>
      </c>
      <c r="AR93" s="4">
        <v>12.25</v>
      </c>
      <c r="AS93" s="4">
        <v>13.02</v>
      </c>
      <c r="AT93" s="4">
        <v>15.64</v>
      </c>
      <c r="AU93" s="4">
        <v>15.234999999999999</v>
      </c>
      <c r="AV93" s="4">
        <v>15.4</v>
      </c>
      <c r="AW93" s="4">
        <v>15.1</v>
      </c>
      <c r="AX93" s="4">
        <v>15.5</v>
      </c>
      <c r="AY93" s="12">
        <v>14.64</v>
      </c>
      <c r="AZ93" s="12">
        <v>14.11</v>
      </c>
      <c r="BA93" s="12">
        <v>13.28</v>
      </c>
      <c r="BB93" s="15">
        <v>13.75</v>
      </c>
      <c r="BC93" s="52">
        <v>13.7</v>
      </c>
      <c r="BD93" s="52">
        <v>13.17</v>
      </c>
      <c r="BE93" s="52">
        <v>13.33</v>
      </c>
      <c r="BF93" s="52">
        <v>13.57</v>
      </c>
      <c r="BG93" s="67">
        <v>13.29</v>
      </c>
      <c r="BH93" s="52">
        <v>13.04</v>
      </c>
      <c r="BI93" s="52">
        <v>13.46</v>
      </c>
      <c r="BJ93" s="52">
        <v>14.02</v>
      </c>
      <c r="BK93" s="52">
        <v>13.26</v>
      </c>
      <c r="BL93" s="52">
        <v>13.09</v>
      </c>
      <c r="BM93" s="52">
        <v>13.36</v>
      </c>
      <c r="BN93" s="52">
        <v>14.13</v>
      </c>
      <c r="BO93" s="52" cm="1">
        <f t="array" aca="1" ref="BO93" ca="1">_FV(EC93,"Preço")</f>
        <v>14.13</v>
      </c>
      <c r="BP93" s="69" t="s">
        <v>90</v>
      </c>
      <c r="BQ93" s="36" cm="1">
        <f t="array" aca="1" ref="BQ93" ca="1">_FV(EC93,"Média de volume",TRUE)</f>
        <v>1166190</v>
      </c>
      <c r="BR93" s="36">
        <v>2069500</v>
      </c>
      <c r="BS93" s="36" cm="1">
        <f t="array" aca="1" ref="BS93" ca="1">_FV(EC93,"Volume")</f>
        <v>2069500</v>
      </c>
      <c r="BT93" s="24" cm="1">
        <f t="array" aca="1" ref="BT93" ca="1">_FV(EC93,"Beta")</f>
        <v>1.6317999999999999</v>
      </c>
      <c r="BU93" s="71" cm="1">
        <f t="array" aca="1" ref="BU93" ca="1">_FV(EC93,"Variação (%)",TRUE)</f>
        <v>2.9132999999999999E-2</v>
      </c>
      <c r="BW93" s="17" cm="1">
        <f t="array" aca="1" ref="BW93" ca="1">_FV(EC93,"Baixo")</f>
        <v>13.79</v>
      </c>
      <c r="BX93" s="17" cm="1">
        <f t="array" aca="1" ref="BX93" ca="1">_FV(EC93,"Alto")</f>
        <v>14.49</v>
      </c>
      <c r="BY93" s="24"/>
      <c r="BZ93" s="63">
        <f ca="1">SQRT(22.5*(BO93/VLOOKUP(BP93,Fundamentus!A:U,3,FALSE))*(BO93/VLOOKUP(BP93,Fundamentus!A:U,4,FALSE)))</f>
        <v>33.604778062015008</v>
      </c>
      <c r="CB93" s="62">
        <f t="shared" ca="1" si="112"/>
        <v>0</v>
      </c>
      <c r="CC93" s="8"/>
      <c r="CD93" s="61">
        <f t="shared" si="113"/>
        <v>10.59</v>
      </c>
      <c r="CE93" s="61">
        <f t="shared" si="114"/>
        <v>15.64</v>
      </c>
      <c r="CF93" s="61">
        <f t="shared" si="115"/>
        <v>13.478106060606061</v>
      </c>
      <c r="CG93" s="14"/>
      <c r="CH93" s="35">
        <f t="shared" si="98"/>
        <v>13.337774377022239</v>
      </c>
      <c r="CI93" s="15">
        <f t="shared" si="116"/>
        <v>14.179999999999836</v>
      </c>
      <c r="CJ93" s="35">
        <f t="shared" si="99"/>
        <v>15.022225622977434</v>
      </c>
      <c r="CL93" s="14"/>
      <c r="CM93" s="17">
        <f t="shared" si="100"/>
        <v>6.216666666666665</v>
      </c>
      <c r="CN93" s="17">
        <f t="shared" si="101"/>
        <v>8.4033333333333324</v>
      </c>
      <c r="CO93" s="17">
        <f t="shared" si="102"/>
        <v>11.266666666666666</v>
      </c>
      <c r="CP93" s="38">
        <f t="shared" si="117"/>
        <v>13.453333333333333</v>
      </c>
      <c r="CQ93" s="17">
        <f t="shared" si="103"/>
        <v>16.316666666666666</v>
      </c>
      <c r="CR93" s="17">
        <f t="shared" si="104"/>
        <v>18.503333333333334</v>
      </c>
      <c r="CS93" s="17">
        <f t="shared" si="105"/>
        <v>21.366666666666667</v>
      </c>
      <c r="CT93" s="2" cm="1">
        <f t="array" aca="1" ref="CT93" ca="1">MAX(_xlfn._xlws.FILTER(CM93:CS93,CM93:CS93&lt;BO93))</f>
        <v>13.453333333333333</v>
      </c>
      <c r="CU93" s="2" cm="1">
        <f t="array" aca="1" ref="CU93" ca="1">MIN(_xlfn._xlws.FILTER($CM93:$CS93,$CM93:$CS93&gt;BO93))</f>
        <v>16.316666666666666</v>
      </c>
      <c r="CV93" s="16">
        <f t="shared" ca="1" si="119"/>
        <v>0.21283448959365714</v>
      </c>
      <c r="CW93" s="20">
        <f t="shared" ca="1" si="120"/>
        <v>-0.10641724479682857</v>
      </c>
      <c r="CX93" s="20">
        <f t="shared" ca="1" si="121"/>
        <v>-7.0944829864552375E-2</v>
      </c>
      <c r="CY93" s="20">
        <f t="shared" ca="1" si="122"/>
        <v>-4.2566897918731431E-2</v>
      </c>
      <c r="CZ93" s="20">
        <f t="shared" ca="1" si="123"/>
        <v>-2.3648276621517458E-2</v>
      </c>
      <c r="DA93" s="20">
        <f t="shared" ca="1" si="124"/>
        <v>-1.2519675858450419E-2</v>
      </c>
      <c r="DB93" s="20">
        <f t="shared" ca="1" si="125"/>
        <v>-6.4495299876865799E-3</v>
      </c>
      <c r="DC93" s="20">
        <f t="shared" ca="1" si="126"/>
        <v>-3.2743767629793406E-3</v>
      </c>
      <c r="DD93" s="21">
        <f t="shared" ca="1" si="127"/>
        <v>3.2743767629793406E-3</v>
      </c>
      <c r="DE93" s="21">
        <f t="shared" ca="1" si="128"/>
        <v>6.4495299876865799E-3</v>
      </c>
      <c r="DF93" s="21">
        <f t="shared" ca="1" si="129"/>
        <v>1.2519675858450419E-2</v>
      </c>
      <c r="DG93" s="21">
        <f t="shared" ca="1" si="130"/>
        <v>2.3648276621517458E-2</v>
      </c>
      <c r="DH93" s="21">
        <f t="shared" ca="1" si="131"/>
        <v>4.2566897918731431E-2</v>
      </c>
      <c r="DI93" s="21">
        <f t="shared" ca="1" si="132"/>
        <v>7.0944829864552375E-2</v>
      </c>
      <c r="DJ93" s="21">
        <f t="shared" ca="1" si="133"/>
        <v>0.10641724479682857</v>
      </c>
      <c r="DL93" s="16" cm="1">
        <f t="array" aca="1" ref="DL93" ca="1">MAX(_xlfn._xlws.FILTER(CW93:DJ93,CW93:DJ93&lt;BU93))</f>
        <v>2.3648276621517458E-2</v>
      </c>
      <c r="DM93" s="16" cm="1">
        <f t="array" aca="1" ref="DM93" ca="1">MIN(_xlfn._xlws.FILTER(CW93:DJ93,CW93:DJ93&gt;BU93))</f>
        <v>4.2566897918731431E-2</v>
      </c>
      <c r="DN93" s="2" cm="1">
        <f t="array" aca="1" ref="DN93" ca="1">_FV(EC93,"Fechamento anterior",TRUE)</f>
        <v>13.73</v>
      </c>
      <c r="DO93" s="28">
        <f t="shared" ca="1" si="106"/>
        <v>0.28992642065037733</v>
      </c>
      <c r="DP93" s="15">
        <f t="shared" ca="1" si="134"/>
        <v>14.054690838013435</v>
      </c>
      <c r="DQ93" s="15">
        <f t="shared" ca="1" si="135"/>
        <v>14.314443508424183</v>
      </c>
      <c r="DR93" s="9"/>
      <c r="DS93" s="9"/>
      <c r="DT93" s="9"/>
      <c r="DU93" s="89">
        <v>1.0039960372076948E-2</v>
      </c>
      <c r="DV93" s="89">
        <f t="shared" ca="1" si="107"/>
        <v>1.8918621297213972E-2</v>
      </c>
      <c r="DW93" s="72">
        <f t="shared" ca="1" si="108"/>
        <v>-5.9366514904956133E-2</v>
      </c>
      <c r="DX93" s="37"/>
      <c r="DY93" s="35">
        <f t="shared" si="118"/>
        <v>0.42111281148879837</v>
      </c>
      <c r="DZ93" s="56"/>
      <c r="EA93" s="56"/>
      <c r="EC93" s="2" t="e" vm="93">
        <v>#VALUE!</v>
      </c>
      <c r="EE93" s="10" cm="1">
        <f t="array" aca="1" ref="EE93" ca="1">_FV(EC93,"Ações em circulação",TRUE)</f>
        <v>220989100</v>
      </c>
      <c r="EF93" s="18">
        <f>VLOOKUP(BP93,Fundamentus!A:U,5,FALSE)</f>
        <v>1.796</v>
      </c>
      <c r="EG93" s="2">
        <f t="shared" ca="1" si="109"/>
        <v>1738628052.8953228</v>
      </c>
      <c r="EH93" s="17">
        <v>499855565.20740527</v>
      </c>
      <c r="EI93" s="17">
        <f t="shared" ca="1" si="110"/>
        <v>499855565.20740527</v>
      </c>
      <c r="EK93" s="16">
        <f t="shared" ca="1" si="97"/>
        <v>0</v>
      </c>
      <c r="EL93" s="32" t="str">
        <f>IF(VLOOKUP(BP93,Fundamentus!A:U,3,FALSE)&lt;15,"Bom",IF(VLOOKUP(BP93,Fundamentus!A:U,3,FALSE)&gt;15,"Ruim","n/a"))</f>
        <v>Bom</v>
      </c>
      <c r="EM93" s="28" t="str">
        <f>IF(VLOOKUP(BP93,Fundamentus!A:U,4,FALSE)&lt;1,"Baixo",IF(VLOOKUP(BP93,Fundamentus!A:U,4,FALSE)&lt;1.5,"Moderado",IF(VLOOKUP(BP93,Fundamentus!A:U,4,FALSE)&gt;1.5,"Alto","n/a")))</f>
        <v>Baixo</v>
      </c>
      <c r="EN93" s="17" t="str">
        <f>IF(VLOOKUP(BP93,Fundamentus!A:U,8,FALSE)&lt;0,"Risco elevado",IF(VLOOKUP(BP93,Fundamentus!A:U,8,FALSE)&lt;1,"Saudável",IF(VLOOKUP(BP93,Fundamentus!A:U,8,FALSE)&lt;3,"Estável",IF(VLOOKUP(BP93,Fundamentus!A:U,8,FALSE)&gt;3,"Alerta","n/a"))))</f>
        <v>Estável</v>
      </c>
      <c r="EO93" s="28" t="str">
        <f t="shared" si="111"/>
        <v>Bom</v>
      </c>
      <c r="EP93" s="17" t="str">
        <f>IF(VLOOKUP(BP93,Fundamentus!A:U,12,FALSE)&lt;2,"Subvalorizada",IF(VLOOKUP(BP93,Fundamentus!A:U,12,FALSE)&lt;6,"Muita barata",IF(VLOOKUP(BP93,Fundamentus!A:U,12,FALSE)&lt;6,"Barata",IF(VLOOKUP(BP93,Fundamentus!A:U,12,FALSE)&lt;8,"Atrativa",IF(VLOOKUP(BP93,Fundamentus!A:U,12,FALSE)&gt;8,"Supervalorizada","n/a")))))</f>
        <v>Supervalorizada</v>
      </c>
      <c r="ER93" s="17" t="str">
        <f>IF(VLOOKUP(BP93,Fundamentus!A:U,17,FALSE)&lt;0.1,"Fraco retorno",IF(VLOOKUP(BP93,Fundamentus!A:U,17,FALSE)&gt;0.1,"Bom retorno","n/a"))</f>
        <v>Fraco retorno</v>
      </c>
      <c r="ES93" s="17" t="str">
        <f>IF(VLOOKUP(BP93,Fundamentus!A:U,16,FALSE)&lt;0.1,"Ineficiente",IF(VLOOKUP(BP93,Fundamentus!A:U,16,FALSE)&gt;0.1,"Eficiente","n/a"))</f>
        <v>Ineficiente</v>
      </c>
      <c r="ET93" s="33" t="str">
        <f>IF(VLOOKUP(BP93,Fundamentus!A:U,16,FALSE)&lt;0.1,"Oper. Ineficiente",IF(VLOOKUP(BP93,Fundamentus!A:U,16,FALSE)&gt;0.1,"Oper.Eficiente","n/a"))</f>
        <v>Oper. Ineficiente</v>
      </c>
      <c r="EU93" s="34">
        <f>VLOOKUP(BP93,Fundamentus!A:U,14,FALSE)</f>
        <v>0.28749999999999998</v>
      </c>
      <c r="EV93" s="17" t="str">
        <f>IF(VLOOKUP(BP93,Fundamentus!A:U,21,FALSE)&lt;0,"Negativo",IF(VLOOKUP(BP93,Fundamentus!A:U,21,FALSE)&lt;0.05,"Fraco",IF(VLOOKUP(BP93,Fundamentus!A:U,21,FALSE)&lt;0.1,"Bom",IF(VLOOKUP(BP93,Fundamentus!A:U,21,FALSE)&gt;0.1,"Muito bom","n/a"))))</f>
        <v>Muito bom</v>
      </c>
      <c r="EX93" s="29" t="str">
        <f>IF(VLOOKUP(BP93,Fundamentus!A:U,15,FALSE)&gt;1,"Bom",IF(VLOOKUP(BP93,Fundamentus!A:U,15,FALSE)&lt;1,"Ruim","n/a"))</f>
        <v>Bom</v>
      </c>
      <c r="EY93" s="17" t="str">
        <f>IF(VLOOKUP(BP93,Fundamentus!A:U,20,FALSE)&lt;0.5,"Baixa",IF(VLOOKUP(BP93,Fundamentus!A:U,20,FALSE)&lt;1,"Moderada",IF(VLOOKUP(BP93,Fundamentus!A:U,20,FALSE)&lt;2,"Alerta",IF(VLOOKUP(BP93,Fundamentus!A:U,20,FALSE)&gt;2,"Alta","n/a"))))</f>
        <v>Baixa</v>
      </c>
      <c r="EZ93" s="10"/>
    </row>
    <row r="94" spans="1:156" s="2" customFormat="1" ht="11.25" x14ac:dyDescent="0.2">
      <c r="A94" s="4">
        <v>59.17</v>
      </c>
      <c r="B94" s="4">
        <v>52.7</v>
      </c>
      <c r="C94" s="4">
        <v>51.45</v>
      </c>
      <c r="D94" s="4">
        <v>48.94</v>
      </c>
      <c r="E94" s="4">
        <v>48.66</v>
      </c>
      <c r="F94" s="4">
        <v>48.65</v>
      </c>
      <c r="G94" s="4">
        <v>48.97</v>
      </c>
      <c r="H94" s="4">
        <v>48.85</v>
      </c>
      <c r="I94" s="4">
        <v>56.98</v>
      </c>
      <c r="J94" s="4">
        <v>54.75</v>
      </c>
      <c r="K94" s="4">
        <v>52.3</v>
      </c>
      <c r="L94" s="4">
        <v>53.6</v>
      </c>
      <c r="M94" s="4">
        <v>51.79</v>
      </c>
      <c r="N94" s="4">
        <v>53</v>
      </c>
      <c r="O94" s="4">
        <v>54.5</v>
      </c>
      <c r="P94" s="4">
        <v>54.38</v>
      </c>
      <c r="Q94" s="4">
        <v>56.08</v>
      </c>
      <c r="R94" s="4">
        <v>55</v>
      </c>
      <c r="S94" s="4">
        <v>54.37</v>
      </c>
      <c r="T94" s="4">
        <v>54.29</v>
      </c>
      <c r="U94" s="4">
        <v>52.34</v>
      </c>
      <c r="V94" s="4">
        <v>54.38</v>
      </c>
      <c r="W94" s="4">
        <v>55.75</v>
      </c>
      <c r="X94" s="4">
        <v>54.2</v>
      </c>
      <c r="Y94" s="4">
        <v>57.42</v>
      </c>
      <c r="Z94" s="4">
        <v>59</v>
      </c>
      <c r="AA94" s="4">
        <v>59.99</v>
      </c>
      <c r="AB94" s="4">
        <v>58.4</v>
      </c>
      <c r="AC94" s="4">
        <v>60.55</v>
      </c>
      <c r="AD94" s="4">
        <v>60.7</v>
      </c>
      <c r="AE94" s="4">
        <v>62.4</v>
      </c>
      <c r="AF94" s="4">
        <v>65.430000000000007</v>
      </c>
      <c r="AG94" s="4">
        <v>62.42</v>
      </c>
      <c r="AH94" s="4">
        <v>61.24</v>
      </c>
      <c r="AI94" s="4">
        <v>61.59</v>
      </c>
      <c r="AJ94" s="4">
        <v>62.68</v>
      </c>
      <c r="AK94" s="4">
        <v>61.44</v>
      </c>
      <c r="AL94" s="4">
        <v>62.28</v>
      </c>
      <c r="AM94" s="4">
        <v>62.76</v>
      </c>
      <c r="AN94" s="4">
        <v>62.37</v>
      </c>
      <c r="AO94" s="4">
        <v>59.52</v>
      </c>
      <c r="AP94" s="4">
        <v>58.85</v>
      </c>
      <c r="AQ94" s="4">
        <v>57.5</v>
      </c>
      <c r="AR94" s="4">
        <v>56.31</v>
      </c>
      <c r="AS94" s="4">
        <v>55.34</v>
      </c>
      <c r="AT94" s="4">
        <v>54.14</v>
      </c>
      <c r="AU94" s="4">
        <v>55.209999999999987</v>
      </c>
      <c r="AV94" s="4">
        <v>53.2</v>
      </c>
      <c r="AW94" s="4">
        <v>50.9</v>
      </c>
      <c r="AX94" s="4">
        <v>51.64</v>
      </c>
      <c r="AY94" s="12">
        <v>51.84</v>
      </c>
      <c r="AZ94" s="12">
        <v>51.28</v>
      </c>
      <c r="BA94" s="12">
        <v>50.08</v>
      </c>
      <c r="BB94" s="15">
        <v>51.47</v>
      </c>
      <c r="BC94" s="52">
        <v>53.82</v>
      </c>
      <c r="BD94" s="52">
        <v>52.96</v>
      </c>
      <c r="BE94" s="52">
        <v>49.65</v>
      </c>
      <c r="BF94" s="52">
        <v>53.42</v>
      </c>
      <c r="BG94" s="67">
        <v>54.11</v>
      </c>
      <c r="BH94" s="52">
        <v>51.87</v>
      </c>
      <c r="BI94" s="52">
        <v>51.15</v>
      </c>
      <c r="BJ94" s="52">
        <v>51.95</v>
      </c>
      <c r="BK94" s="52">
        <v>49.74</v>
      </c>
      <c r="BL94" s="52">
        <v>50.61</v>
      </c>
      <c r="BM94" s="52">
        <v>52.57</v>
      </c>
      <c r="BN94" s="52">
        <v>51.74</v>
      </c>
      <c r="BO94" s="52" cm="1">
        <f t="array" aca="1" ref="BO94" ca="1">_FV(EC94,"Preço")</f>
        <v>51.74</v>
      </c>
      <c r="BP94" s="69" t="s">
        <v>91</v>
      </c>
      <c r="BQ94" s="36" cm="1">
        <f t="array" aca="1" ref="BQ94" ca="1">_FV(EC94,"Média de volume",TRUE)</f>
        <v>4404570</v>
      </c>
      <c r="BR94" s="36">
        <v>6867100</v>
      </c>
      <c r="BS94" s="36" cm="1">
        <f t="array" aca="1" ref="BS94" ca="1">_FV(EC94,"Volume")</f>
        <v>6867100</v>
      </c>
      <c r="BT94" s="24" cm="1">
        <f t="array" aca="1" ref="BT94" ca="1">_FV(EC94,"Beta")</f>
        <v>0.39029999999999998</v>
      </c>
      <c r="BU94" s="71" cm="1">
        <f t="array" aca="1" ref="BU94" ca="1">_FV(EC94,"Variação (%)",TRUE)</f>
        <v>-7.8620000000000009E-3</v>
      </c>
      <c r="BW94" s="17" cm="1">
        <f t="array" aca="1" ref="BW94" ca="1">_FV(EC94,"Baixo")</f>
        <v>51.47</v>
      </c>
      <c r="BX94" s="17" cm="1">
        <f t="array" aca="1" ref="BX94" ca="1">_FV(EC94,"Alto")</f>
        <v>52.6</v>
      </c>
      <c r="BY94" s="24"/>
      <c r="BZ94" s="63" t="e">
        <f ca="1">SQRT(22.5*(BO94/VLOOKUP(BP94,Fundamentus!A:U,3,FALSE))*(BO94/VLOOKUP(BP94,Fundamentus!A:U,4,FALSE)))</f>
        <v>#NUM!</v>
      </c>
      <c r="CB94" s="62">
        <f t="shared" ca="1" si="112"/>
        <v>0</v>
      </c>
      <c r="CC94" s="8"/>
      <c r="CD94" s="61">
        <f t="shared" si="113"/>
        <v>48.65</v>
      </c>
      <c r="CE94" s="61">
        <f t="shared" si="114"/>
        <v>65.430000000000007</v>
      </c>
      <c r="CF94" s="61">
        <f t="shared" si="115"/>
        <v>55.100606060606076</v>
      </c>
      <c r="CG94" s="14"/>
      <c r="CH94" s="35">
        <f t="shared" si="98"/>
        <v>51.127927233668949</v>
      </c>
      <c r="CI94" s="15">
        <f t="shared" si="116"/>
        <v>53.154999999999745</v>
      </c>
      <c r="CJ94" s="35">
        <f t="shared" si="99"/>
        <v>55.182072766330542</v>
      </c>
      <c r="CL94" s="14"/>
      <c r="CM94" s="17">
        <f t="shared" si="100"/>
        <v>28.336666666666666</v>
      </c>
      <c r="CN94" s="17">
        <f t="shared" si="101"/>
        <v>38.493333333333332</v>
      </c>
      <c r="CO94" s="17">
        <f t="shared" si="102"/>
        <v>45.116666666666674</v>
      </c>
      <c r="CP94" s="38">
        <f t="shared" si="117"/>
        <v>55.273333333333341</v>
      </c>
      <c r="CQ94" s="17">
        <f t="shared" si="103"/>
        <v>61.896666666666682</v>
      </c>
      <c r="CR94" s="17">
        <f t="shared" si="104"/>
        <v>72.053333333333342</v>
      </c>
      <c r="CS94" s="17">
        <f t="shared" si="105"/>
        <v>78.676666666666691</v>
      </c>
      <c r="CT94" s="2" cm="1">
        <f t="array" aca="1" ref="CT94" ca="1">MAX(_xlfn._xlws.FILTER(CM94:CS94,CM94:CS94&lt;BO94))</f>
        <v>45.116666666666674</v>
      </c>
      <c r="CU94" s="2" cm="1">
        <f t="array" aca="1" ref="CU94" ca="1">MIN(_xlfn._xlws.FILTER($CM94:$CS94,$CM94:$CS94&gt;BO94))</f>
        <v>55.273333333333341</v>
      </c>
      <c r="CV94" s="16">
        <f t="shared" ca="1" si="119"/>
        <v>0.2251200591060214</v>
      </c>
      <c r="CW94" s="20">
        <f t="shared" ca="1" si="120"/>
        <v>-0.1125600295530107</v>
      </c>
      <c r="CX94" s="20">
        <f t="shared" ca="1" si="121"/>
        <v>-7.5040019702007132E-2</v>
      </c>
      <c r="CY94" s="20">
        <f t="shared" ca="1" si="122"/>
        <v>-4.5024011821204281E-2</v>
      </c>
      <c r="CZ94" s="20">
        <f t="shared" ca="1" si="123"/>
        <v>-2.5013339900669045E-2</v>
      </c>
      <c r="DA94" s="20">
        <f t="shared" ca="1" si="124"/>
        <v>-1.3242356418001259E-2</v>
      </c>
      <c r="DB94" s="20">
        <f t="shared" ca="1" si="125"/>
        <v>-6.8218199729097396E-3</v>
      </c>
      <c r="DC94" s="20">
        <f t="shared" ca="1" si="126"/>
        <v>-3.4633855247080216E-3</v>
      </c>
      <c r="DD94" s="21">
        <f t="shared" ca="1" si="127"/>
        <v>3.4633855247080216E-3</v>
      </c>
      <c r="DE94" s="21">
        <f t="shared" ca="1" si="128"/>
        <v>6.8218199729097396E-3</v>
      </c>
      <c r="DF94" s="21">
        <f t="shared" ca="1" si="129"/>
        <v>1.3242356418001259E-2</v>
      </c>
      <c r="DG94" s="21">
        <f t="shared" ca="1" si="130"/>
        <v>2.5013339900669045E-2</v>
      </c>
      <c r="DH94" s="21">
        <f t="shared" ca="1" si="131"/>
        <v>4.5024011821204281E-2</v>
      </c>
      <c r="DI94" s="21">
        <f t="shared" ca="1" si="132"/>
        <v>7.5040019702007132E-2</v>
      </c>
      <c r="DJ94" s="21">
        <f t="shared" ca="1" si="133"/>
        <v>0.1125600295530107</v>
      </c>
      <c r="DL94" s="16" cm="1">
        <f t="array" aca="1" ref="DL94" ca="1">MAX(_xlfn._xlws.FILTER(CW94:DJ94,CW94:DJ94&lt;BU94))</f>
        <v>-1.3242356418001259E-2</v>
      </c>
      <c r="DM94" s="16" cm="1">
        <f t="array" aca="1" ref="DM94" ca="1">MIN(_xlfn._xlws.FILTER(CW94:DJ94,CW94:DJ94&gt;BU94))</f>
        <v>-6.8218199729097396E-3</v>
      </c>
      <c r="DN94" s="2" cm="1">
        <f t="array" aca="1" ref="DN94" ca="1">_FV(EC94,"Fechamento anterior",TRUE)</f>
        <v>52.15</v>
      </c>
      <c r="DO94" s="28">
        <f t="shared" ca="1" si="106"/>
        <v>0.83800158180201034</v>
      </c>
      <c r="DP94" s="15">
        <f t="shared" ca="1" si="134"/>
        <v>51.459411112801234</v>
      </c>
      <c r="DQ94" s="15">
        <f t="shared" ca="1" si="135"/>
        <v>51.794242088412759</v>
      </c>
      <c r="DR94" s="9"/>
      <c r="DS94" s="9"/>
      <c r="DT94" s="9"/>
      <c r="DU94" s="89">
        <v>1.2414813898109153E-2</v>
      </c>
      <c r="DV94" s="89">
        <f t="shared" ca="1" si="107"/>
        <v>6.4205364450915193E-3</v>
      </c>
      <c r="DW94" s="72">
        <f t="shared" ca="1" si="108"/>
        <v>-0.69805091534086083</v>
      </c>
      <c r="DX94" s="37"/>
      <c r="DY94" s="35">
        <f t="shared" si="118"/>
        <v>1.0135363831653998</v>
      </c>
      <c r="DZ94" s="56"/>
      <c r="EA94" s="56"/>
      <c r="EC94" s="2" t="e" vm="94">
        <v>#VALUE!</v>
      </c>
      <c r="EE94" s="10" cm="1">
        <f t="array" aca="1" ref="EE94" ca="1">_FV(EC94,"Ações em circulação",TRUE)</f>
        <v>1264118000</v>
      </c>
      <c r="EF94" s="18">
        <f>VLOOKUP(BP94,Fundamentus!A:U,5,FALSE)</f>
        <v>1.3220000000000001</v>
      </c>
      <c r="EG94" s="2">
        <f t="shared" ca="1" si="109"/>
        <v>49474633373.676247</v>
      </c>
      <c r="EH94" s="17">
        <v>-915280717.41301048</v>
      </c>
      <c r="EI94" s="17">
        <f t="shared" ca="1" si="110"/>
        <v>-915280717.41301048</v>
      </c>
      <c r="EK94" s="16">
        <f t="shared" ca="1" si="97"/>
        <v>0</v>
      </c>
      <c r="EL94" s="32" t="str">
        <f>IF(VLOOKUP(BP94,Fundamentus!A:U,3,FALSE)&lt;15,"Bom",IF(VLOOKUP(BP94,Fundamentus!A:U,3,FALSE)&gt;15,"Ruim","n/a"))</f>
        <v>Bom</v>
      </c>
      <c r="EM94" s="28" t="str">
        <f>IF(VLOOKUP(BP94,Fundamentus!A:U,4,FALSE)&lt;1,"Baixo",IF(VLOOKUP(BP94,Fundamentus!A:U,4,FALSE)&lt;1.5,"Moderado",IF(VLOOKUP(BP94,Fundamentus!A:U,4,FALSE)&gt;1.5,"Alto","n/a")))</f>
        <v>Alto</v>
      </c>
      <c r="EN94" s="17" t="str">
        <f>IF(VLOOKUP(BP94,Fundamentus!A:U,8,FALSE)&lt;0,"Risco elevado",IF(VLOOKUP(BP94,Fundamentus!A:U,8,FALSE)&lt;1,"Saudável",IF(VLOOKUP(BP94,Fundamentus!A:U,8,FALSE)&lt;3,"Estável",IF(VLOOKUP(BP94,Fundamentus!A:U,8,FALSE)&gt;3,"Alerta","n/a"))))</f>
        <v>Alerta</v>
      </c>
      <c r="EO94" s="28" t="str">
        <f t="shared" si="111"/>
        <v>Bom</v>
      </c>
      <c r="EP94" s="17" t="str">
        <f>IF(VLOOKUP(BP94,Fundamentus!A:U,12,FALSE)&lt;2,"Subvalorizada",IF(VLOOKUP(BP94,Fundamentus!A:U,12,FALSE)&lt;6,"Muita barata",IF(VLOOKUP(BP94,Fundamentus!A:U,12,FALSE)&lt;6,"Barata",IF(VLOOKUP(BP94,Fundamentus!A:U,12,FALSE)&lt;8,"Atrativa",IF(VLOOKUP(BP94,Fundamentus!A:U,12,FALSE)&gt;8,"Supervalorizada","n/a")))))</f>
        <v>Muita barata</v>
      </c>
      <c r="ER94" s="17" t="str">
        <f>IF(VLOOKUP(BP94,Fundamentus!A:U,17,FALSE)&lt;0.1,"Fraco retorno",IF(VLOOKUP(BP94,Fundamentus!A:U,17,FALSE)&gt;0.1,"Bom retorno","n/a"))</f>
        <v>Fraco retorno</v>
      </c>
      <c r="ES94" s="17" t="str">
        <f>IF(VLOOKUP(BP94,Fundamentus!A:U,16,FALSE)&lt;0.1,"Ineficiente",IF(VLOOKUP(BP94,Fundamentus!A:U,16,FALSE)&gt;0.1,"Eficiente","n/a"))</f>
        <v>Eficiente</v>
      </c>
      <c r="ET94" s="33" t="str">
        <f>IF(VLOOKUP(BP94,Fundamentus!A:U,16,FALSE)&lt;0.1,"Oper. Ineficiente",IF(VLOOKUP(BP94,Fundamentus!A:U,16,FALSE)&gt;0.1,"Oper.Eficiente","n/a"))</f>
        <v>Oper.Eficiente</v>
      </c>
      <c r="EU94" s="34">
        <f>VLOOKUP(BP94,Fundamentus!A:U,14,FALSE)</f>
        <v>-1.8499999999999999E-2</v>
      </c>
      <c r="EV94" s="17" t="str">
        <f>IF(VLOOKUP(BP94,Fundamentus!A:U,21,FALSE)&lt;0,"Negativo",IF(VLOOKUP(BP94,Fundamentus!A:U,21,FALSE)&lt;0.05,"Fraco",IF(VLOOKUP(BP94,Fundamentus!A:U,21,FALSE)&lt;0.1,"Bom",IF(VLOOKUP(BP94,Fundamentus!A:U,21,FALSE)&gt;0.1,"Muito bom","n/a"))))</f>
        <v>Bom</v>
      </c>
      <c r="EX94" s="29" t="str">
        <f>IF(VLOOKUP(BP94,Fundamentus!A:U,15,FALSE)&gt;1,"Bom",IF(VLOOKUP(BP94,Fundamentus!A:U,15,FALSE)&lt;1,"Ruim","n/a"))</f>
        <v>Bom</v>
      </c>
      <c r="EY94" s="17" t="str">
        <f>IF(VLOOKUP(BP94,Fundamentus!A:U,20,FALSE)&lt;0.5,"Baixa",IF(VLOOKUP(BP94,Fundamentus!A:U,20,FALSE)&lt;1,"Moderada",IF(VLOOKUP(BP94,Fundamentus!A:U,20,FALSE)&lt;2,"Alerta",IF(VLOOKUP(BP94,Fundamentus!A:U,20,FALSE)&gt;2,"Alta","n/a"))))</f>
        <v>Alta</v>
      </c>
      <c r="EZ94" s="10"/>
    </row>
    <row r="95" spans="1:156" s="2" customFormat="1" ht="11.25" x14ac:dyDescent="0.2">
      <c r="A95" s="4">
        <v>26</v>
      </c>
      <c r="B95" s="4">
        <v>28.65</v>
      </c>
      <c r="C95" s="4">
        <v>26.34</v>
      </c>
      <c r="D95" s="4">
        <v>26.69</v>
      </c>
      <c r="E95" s="4">
        <v>26.89</v>
      </c>
      <c r="F95" s="4">
        <v>27.6</v>
      </c>
      <c r="G95" s="4">
        <v>26.4</v>
      </c>
      <c r="H95" s="4">
        <v>26.2</v>
      </c>
      <c r="I95" s="4">
        <v>27.65</v>
      </c>
      <c r="J95" s="4">
        <v>28.31</v>
      </c>
      <c r="K95" s="4">
        <v>29.65</v>
      </c>
      <c r="L95" s="4">
        <v>31</v>
      </c>
      <c r="M95" s="4">
        <v>33.75</v>
      </c>
      <c r="N95" s="4">
        <v>34.1</v>
      </c>
      <c r="O95" s="4">
        <v>36.6</v>
      </c>
      <c r="P95" s="4">
        <v>36.71</v>
      </c>
      <c r="Q95" s="4">
        <v>38.86</v>
      </c>
      <c r="R95" s="4">
        <v>39</v>
      </c>
      <c r="S95" s="4">
        <v>39.18</v>
      </c>
      <c r="T95" s="4">
        <v>41.9</v>
      </c>
      <c r="U95" s="4">
        <v>41.56</v>
      </c>
      <c r="V95" s="4">
        <v>40.200000000000003</v>
      </c>
      <c r="W95" s="4">
        <v>38.909999999999997</v>
      </c>
      <c r="X95" s="4">
        <v>39.58</v>
      </c>
      <c r="Y95" s="4">
        <v>38.39</v>
      </c>
      <c r="Z95" s="4">
        <v>41.07</v>
      </c>
      <c r="AA95" s="4">
        <v>43.87</v>
      </c>
      <c r="AB95" s="4">
        <v>38.69</v>
      </c>
      <c r="AC95" s="4">
        <v>37.369999999999997</v>
      </c>
      <c r="AD95" s="4">
        <v>40.75</v>
      </c>
      <c r="AE95" s="4">
        <v>39.700000000000003</v>
      </c>
      <c r="AF95" s="4">
        <v>39.56</v>
      </c>
      <c r="AG95" s="4">
        <v>37.14</v>
      </c>
      <c r="AH95" s="4">
        <v>36.6</v>
      </c>
      <c r="AI95" s="4">
        <v>37.53</v>
      </c>
      <c r="AJ95" s="4">
        <v>38.78</v>
      </c>
      <c r="AK95" s="4">
        <v>37.21</v>
      </c>
      <c r="AL95" s="4">
        <v>37.22</v>
      </c>
      <c r="AM95" s="4">
        <v>38.090000000000003</v>
      </c>
      <c r="AN95" s="4">
        <v>38.15</v>
      </c>
      <c r="AO95" s="4">
        <v>37.86</v>
      </c>
      <c r="AP95" s="4">
        <v>38.58</v>
      </c>
      <c r="AQ95" s="4">
        <v>38.49</v>
      </c>
      <c r="AR95" s="4">
        <v>37.51</v>
      </c>
      <c r="AS95" s="4">
        <v>37.78</v>
      </c>
      <c r="AT95" s="4">
        <v>37.200000000000003</v>
      </c>
      <c r="AU95" s="4">
        <v>37.744999999999997</v>
      </c>
      <c r="AV95" s="4">
        <v>37.21</v>
      </c>
      <c r="AW95" s="4">
        <v>34.479999999999997</v>
      </c>
      <c r="AX95" s="4">
        <v>32.33</v>
      </c>
      <c r="AY95" s="12">
        <v>33.32</v>
      </c>
      <c r="AZ95" s="12">
        <v>34.68</v>
      </c>
      <c r="BA95" s="12">
        <v>35.28</v>
      </c>
      <c r="BB95" s="15">
        <v>33.08</v>
      </c>
      <c r="BC95" s="52">
        <v>37.44</v>
      </c>
      <c r="BD95" s="52">
        <v>39.47</v>
      </c>
      <c r="BE95" s="52">
        <v>39.590000000000003</v>
      </c>
      <c r="BF95" s="52">
        <v>39.68</v>
      </c>
      <c r="BG95" s="67">
        <v>40.6</v>
      </c>
      <c r="BH95" s="52">
        <v>40</v>
      </c>
      <c r="BI95" s="52">
        <v>40.01</v>
      </c>
      <c r="BJ95" s="52">
        <v>39.5</v>
      </c>
      <c r="BK95" s="52">
        <v>39.159999999999997</v>
      </c>
      <c r="BL95" s="52">
        <v>38.61</v>
      </c>
      <c r="BM95" s="52">
        <v>39.130000000000003</v>
      </c>
      <c r="BN95" s="52">
        <v>41.5</v>
      </c>
      <c r="BO95" s="52" cm="1">
        <f t="array" aca="1" ref="BO95" ca="1">_FV(EC95,"Preço")</f>
        <v>41.5</v>
      </c>
      <c r="BP95" s="70" t="s">
        <v>92</v>
      </c>
      <c r="BQ95" s="36" cm="1">
        <f t="array" aca="1" ref="BQ95" ca="1">_FV(EC95,"Média de volume",TRUE)</f>
        <v>11120</v>
      </c>
      <c r="BR95" s="36">
        <v>17900</v>
      </c>
      <c r="BS95" s="36" cm="1">
        <f t="array" aca="1" ref="BS95" ca="1">_FV(EC95,"Volume")</f>
        <v>17900</v>
      </c>
      <c r="BT95" s="24" cm="1">
        <f t="array" aca="1" ref="BT95" ca="1">_FV(EC95,"Beta")</f>
        <v>0.1467</v>
      </c>
      <c r="BU95" s="71" cm="1">
        <f t="array" aca="1" ref="BU95" ca="1">_FV(EC95,"Variação (%)",TRUE)</f>
        <v>7.2628999999999999E-2</v>
      </c>
      <c r="BW95" s="17" cm="1">
        <f t="array" aca="1" ref="BW95" ca="1">_FV(EC95,"Baixo")</f>
        <v>38</v>
      </c>
      <c r="BX95" s="17" cm="1">
        <f t="array" aca="1" ref="BX95" ca="1">_FV(EC95,"Alto")</f>
        <v>41.5</v>
      </c>
      <c r="BY95" s="24"/>
      <c r="BZ95" s="63">
        <f ca="1">SQRT(22.5*(BO95/VLOOKUP(BP95,Fundamentus!A:U,3,FALSE))*(BO95/VLOOKUP(BP95,Fundamentus!A:U,4,FALSE)))</f>
        <v>59.488401079653329</v>
      </c>
      <c r="CB95" s="62">
        <f t="shared" ca="1" si="112"/>
        <v>0</v>
      </c>
      <c r="CC95" s="8"/>
      <c r="CD95" s="61">
        <f t="shared" si="113"/>
        <v>26</v>
      </c>
      <c r="CE95" s="61">
        <f t="shared" si="114"/>
        <v>43.87</v>
      </c>
      <c r="CF95" s="61">
        <f t="shared" si="115"/>
        <v>36.243712121212113</v>
      </c>
      <c r="CG95" s="14"/>
      <c r="CH95" s="35">
        <f t="shared" si="98"/>
        <v>39.482481585603352</v>
      </c>
      <c r="CI95" s="15">
        <f t="shared" si="116"/>
        <v>41.485000000000582</v>
      </c>
      <c r="CJ95" s="35">
        <f t="shared" si="99"/>
        <v>43.487518414397812</v>
      </c>
      <c r="CL95" s="14"/>
      <c r="CM95" s="17">
        <f t="shared" si="100"/>
        <v>12.506666666666675</v>
      </c>
      <c r="CN95" s="17">
        <f t="shared" si="101"/>
        <v>19.253333333333337</v>
      </c>
      <c r="CO95" s="17">
        <f t="shared" si="102"/>
        <v>30.376666666666672</v>
      </c>
      <c r="CP95" s="38">
        <f t="shared" si="117"/>
        <v>37.123333333333335</v>
      </c>
      <c r="CQ95" s="17">
        <f t="shared" si="103"/>
        <v>48.24666666666667</v>
      </c>
      <c r="CR95" s="17">
        <f t="shared" si="104"/>
        <v>54.993333333333332</v>
      </c>
      <c r="CS95" s="17">
        <f t="shared" si="105"/>
        <v>66.116666666666674</v>
      </c>
      <c r="CT95" s="2" cm="1">
        <f t="array" aca="1" ref="CT95" ca="1">MAX(_xlfn._xlws.FILTER(CM95:CS95,CM95:CS95&lt;BO95))</f>
        <v>37.123333333333335</v>
      </c>
      <c r="CU95" s="2" cm="1">
        <f t="array" aca="1" ref="CU95" ca="1">MIN(_xlfn._xlws.FILTER($CM95:$CS95,$CM95:$CS95&gt;BO95))</f>
        <v>48.24666666666667</v>
      </c>
      <c r="CV95" s="16">
        <f t="shared" ca="1" si="119"/>
        <v>0.29963185777139278</v>
      </c>
      <c r="CW95" s="20">
        <f t="shared" ca="1" si="120"/>
        <v>-0.14981592888569639</v>
      </c>
      <c r="CX95" s="20">
        <f t="shared" ca="1" si="121"/>
        <v>-9.987728592379759E-2</v>
      </c>
      <c r="CY95" s="20">
        <f t="shared" ca="1" si="122"/>
        <v>-5.992637155427856E-2</v>
      </c>
      <c r="CZ95" s="20">
        <f t="shared" ca="1" si="123"/>
        <v>-3.3292428641265866E-2</v>
      </c>
      <c r="DA95" s="20">
        <f t="shared" ca="1" si="124"/>
        <v>-1.7625403398317224E-2</v>
      </c>
      <c r="DB95" s="20">
        <f t="shared" ca="1" si="125"/>
        <v>-9.0797532657997809E-3</v>
      </c>
      <c r="DC95" s="20">
        <f t="shared" ca="1" si="126"/>
        <v>-4.6097208887906586E-3</v>
      </c>
      <c r="DD95" s="21">
        <f t="shared" ca="1" si="127"/>
        <v>4.6097208887906586E-3</v>
      </c>
      <c r="DE95" s="21">
        <f t="shared" ca="1" si="128"/>
        <v>9.0797532657997809E-3</v>
      </c>
      <c r="DF95" s="21">
        <f t="shared" ca="1" si="129"/>
        <v>1.7625403398317224E-2</v>
      </c>
      <c r="DG95" s="21">
        <f t="shared" ca="1" si="130"/>
        <v>3.3292428641265866E-2</v>
      </c>
      <c r="DH95" s="21">
        <f t="shared" ca="1" si="131"/>
        <v>5.992637155427856E-2</v>
      </c>
      <c r="DI95" s="21">
        <f t="shared" ca="1" si="132"/>
        <v>9.987728592379759E-2</v>
      </c>
      <c r="DJ95" s="21">
        <f t="shared" ca="1" si="133"/>
        <v>0.14981592888569639</v>
      </c>
      <c r="DL95" s="16" cm="1">
        <f t="array" aca="1" ref="DL95" ca="1">MAX(_xlfn._xlws.FILTER(CW95:DJ95,CW95:DJ95&lt;BU95))</f>
        <v>5.992637155427856E-2</v>
      </c>
      <c r="DM95" s="16" cm="1">
        <f t="array" aca="1" ref="DM95" ca="1">MIN(_xlfn._xlws.FILTER(CW95:DJ95,CW95:DJ95&gt;BU95))</f>
        <v>9.987728592379759E-2</v>
      </c>
      <c r="DN95" s="2" cm="1">
        <f t="array" aca="1" ref="DN95" ca="1">_FV(EC95,"Fechamento anterior",TRUE)</f>
        <v>38.69</v>
      </c>
      <c r="DO95" s="28">
        <f t="shared" ca="1" si="106"/>
        <v>0.31794553001261822</v>
      </c>
      <c r="DP95" s="15">
        <f t="shared" ca="1" si="134"/>
        <v>41.008551315435035</v>
      </c>
      <c r="DQ95" s="15">
        <f t="shared" ca="1" si="135"/>
        <v>42.554252192391729</v>
      </c>
      <c r="DR95" s="9"/>
      <c r="DS95" s="9"/>
      <c r="DT95" s="9"/>
      <c r="DU95" s="89">
        <v>8.0135030681621061E-3</v>
      </c>
      <c r="DV95" s="89">
        <f t="shared" ca="1" si="107"/>
        <v>3.9950914369519031E-2</v>
      </c>
      <c r="DW95" s="72">
        <f t="shared" ca="1" si="108"/>
        <v>7.4905678227847987E-3</v>
      </c>
      <c r="DX95" s="37"/>
      <c r="DY95" s="35">
        <f t="shared" si="118"/>
        <v>1.0012592071986157</v>
      </c>
      <c r="DZ95" s="56"/>
      <c r="EA95" s="56"/>
      <c r="EC95" s="2" t="e" vm="95">
        <v>#VALUE!</v>
      </c>
      <c r="EE95" s="10" cm="1">
        <f t="array" aca="1" ref="EE95" ca="1">_FV(EC95,"Ações em circulação",TRUE)</f>
        <v>104831600</v>
      </c>
      <c r="EF95" s="18">
        <f>VLOOKUP(BP95,Fundamentus!A:U,5,FALSE)</f>
        <v>0</v>
      </c>
      <c r="EG95" s="2" t="e">
        <f t="shared" ca="1" si="109"/>
        <v>#DIV/0!</v>
      </c>
      <c r="EH95" s="17" t="e">
        <v>#DIV/0!</v>
      </c>
      <c r="EI95" s="17" t="e">
        <f t="shared" ca="1" si="110"/>
        <v>#DIV/0!</v>
      </c>
      <c r="EK95" s="16" t="e">
        <f t="shared" ca="1" si="97"/>
        <v>#DIV/0!</v>
      </c>
      <c r="EL95" s="32" t="str">
        <f>IF(VLOOKUP(BP95,Fundamentus!A:U,3,FALSE)&lt;15,"Bom",IF(VLOOKUP(BP95,Fundamentus!A:U,3,FALSE)&gt;15,"Ruim","n/a"))</f>
        <v>Bom</v>
      </c>
      <c r="EM95" s="28" t="str">
        <f>IF(VLOOKUP(BP95,Fundamentus!A:U,4,FALSE)&lt;1,"Baixo",IF(VLOOKUP(BP95,Fundamentus!A:U,4,FALSE)&lt;1.5,"Moderado",IF(VLOOKUP(BP95,Fundamentus!A:U,4,FALSE)&gt;1.5,"Alto","n/a")))</f>
        <v>Alto</v>
      </c>
      <c r="EN95" s="17" t="str">
        <f>IF(VLOOKUP(BP95,Fundamentus!A:U,8,FALSE)&lt;0,"Risco elevado",IF(VLOOKUP(BP95,Fundamentus!A:U,8,FALSE)&lt;1,"Saudável",IF(VLOOKUP(BP95,Fundamentus!A:U,8,FALSE)&lt;3,"Estável",IF(VLOOKUP(BP95,Fundamentus!A:U,8,FALSE)&gt;3,"Alerta","n/a"))))</f>
        <v>Saudável</v>
      </c>
      <c r="EO95" s="28" t="str">
        <f t="shared" si="111"/>
        <v>Ruim</v>
      </c>
      <c r="EP95" s="17" t="str">
        <f>IF(VLOOKUP(BP95,Fundamentus!A:U,12,FALSE)&lt;2,"Subvalorizada",IF(VLOOKUP(BP95,Fundamentus!A:U,12,FALSE)&lt;6,"Muita barata",IF(VLOOKUP(BP95,Fundamentus!A:U,12,FALSE)&lt;6,"Barata",IF(VLOOKUP(BP95,Fundamentus!A:U,12,FALSE)&lt;8,"Atrativa",IF(VLOOKUP(BP95,Fundamentus!A:U,12,FALSE)&gt;8,"Supervalorizada","n/a")))))</f>
        <v>Subvalorizada</v>
      </c>
      <c r="ER95" s="17" t="str">
        <f>IF(VLOOKUP(BP95,Fundamentus!A:U,17,FALSE)&lt;0.1,"Fraco retorno",IF(VLOOKUP(BP95,Fundamentus!A:U,17,FALSE)&gt;0.1,"Bom retorno","n/a"))</f>
        <v>Bom retorno</v>
      </c>
      <c r="ES95" s="17" t="str">
        <f>IF(VLOOKUP(BP95,Fundamentus!A:U,16,FALSE)&lt;0.1,"Ineficiente",IF(VLOOKUP(BP95,Fundamentus!A:U,16,FALSE)&gt;0.1,"Eficiente","n/a"))</f>
        <v>Ineficiente</v>
      </c>
      <c r="ET95" s="33" t="str">
        <f>IF(VLOOKUP(BP95,Fundamentus!A:U,16,FALSE)&lt;0.1,"Oper. Ineficiente",IF(VLOOKUP(BP95,Fundamentus!A:U,16,FALSE)&gt;0.1,"Oper.Eficiente","n/a"))</f>
        <v>Oper. Ineficiente</v>
      </c>
      <c r="EU95" s="34">
        <f>VLOOKUP(BP95,Fundamentus!A:U,14,FALSE)</f>
        <v>0</v>
      </c>
      <c r="EV95" s="17" t="str">
        <f>IF(VLOOKUP(BP95,Fundamentus!A:U,21,FALSE)&lt;0,"Negativo",IF(VLOOKUP(BP95,Fundamentus!A:U,21,FALSE)&lt;0.05,"Fraco",IF(VLOOKUP(BP95,Fundamentus!A:U,21,FALSE)&lt;0.1,"Bom",IF(VLOOKUP(BP95,Fundamentus!A:U,21,FALSE)&gt;0.1,"Muito bom","n/a"))))</f>
        <v>Muito bom</v>
      </c>
      <c r="EX95" s="29" t="str">
        <f>IF(VLOOKUP(BP95,Fundamentus!A:U,15,FALSE)&gt;1,"Bom",IF(VLOOKUP(BP95,Fundamentus!A:U,15,FALSE)&lt;1,"Ruim","n/a"))</f>
        <v>Ruim</v>
      </c>
      <c r="EY95" s="17" t="str">
        <f>IF(VLOOKUP(BP95,Fundamentus!A:U,20,FALSE)&lt;0.5,"Baixa",IF(VLOOKUP(BP95,Fundamentus!A:U,20,FALSE)&lt;1,"Moderada",IF(VLOOKUP(BP95,Fundamentus!A:U,20,FALSE)&lt;2,"Alerta",IF(VLOOKUP(BP95,Fundamentus!A:U,20,FALSE)&gt;2,"Alta","n/a"))))</f>
        <v>Baixa</v>
      </c>
      <c r="EZ95" s="10"/>
    </row>
    <row r="96" spans="1:156" s="2" customFormat="1" ht="11.25" x14ac:dyDescent="0.2">
      <c r="A96" s="4">
        <v>8.9</v>
      </c>
      <c r="B96" s="4">
        <v>8.26</v>
      </c>
      <c r="C96" s="4">
        <v>8.67</v>
      </c>
      <c r="D96" s="4">
        <v>8.35</v>
      </c>
      <c r="E96" s="4">
        <v>8.1300000000000008</v>
      </c>
      <c r="F96" s="4">
        <v>8.26</v>
      </c>
      <c r="G96" s="4">
        <v>8.33</v>
      </c>
      <c r="H96" s="4">
        <v>8.1999999999999993</v>
      </c>
      <c r="I96" s="4">
        <v>8.32</v>
      </c>
      <c r="J96" s="4">
        <v>8.65</v>
      </c>
      <c r="K96" s="4">
        <v>9.1</v>
      </c>
      <c r="L96" s="4">
        <v>8.94</v>
      </c>
      <c r="M96" s="4">
        <v>9.0500000000000007</v>
      </c>
      <c r="N96" s="4">
        <v>9.0399999999999991</v>
      </c>
      <c r="O96" s="4">
        <v>9.2899999999999991</v>
      </c>
      <c r="P96" s="4">
        <v>9.36</v>
      </c>
      <c r="Q96" s="4">
        <v>9.66</v>
      </c>
      <c r="R96" s="4">
        <v>9.3800000000000008</v>
      </c>
      <c r="S96" s="4">
        <v>9.65</v>
      </c>
      <c r="T96" s="4">
        <v>9.7899999999999991</v>
      </c>
      <c r="U96" s="4">
        <v>9.4</v>
      </c>
      <c r="V96" s="4">
        <v>9.09</v>
      </c>
      <c r="W96" s="4">
        <v>9</v>
      </c>
      <c r="X96" s="4">
        <v>9</v>
      </c>
      <c r="Y96" s="4">
        <v>8.7899999999999991</v>
      </c>
      <c r="Z96" s="4">
        <v>8.6999999999999993</v>
      </c>
      <c r="AA96" s="4">
        <v>8.52</v>
      </c>
      <c r="AB96" s="4">
        <v>8.3800000000000008</v>
      </c>
      <c r="AC96" s="4">
        <v>8.5399999999999991</v>
      </c>
      <c r="AD96" s="4">
        <v>8.36</v>
      </c>
      <c r="AE96" s="4">
        <v>8.66</v>
      </c>
      <c r="AF96" s="4">
        <v>8.6</v>
      </c>
      <c r="AG96" s="4">
        <v>8.26</v>
      </c>
      <c r="AH96" s="4">
        <v>8.14</v>
      </c>
      <c r="AI96" s="4">
        <v>8.26</v>
      </c>
      <c r="AJ96" s="4">
        <v>8.1</v>
      </c>
      <c r="AK96" s="4">
        <v>7.93</v>
      </c>
      <c r="AL96" s="4">
        <v>8.32</v>
      </c>
      <c r="AM96" s="4">
        <v>8.32</v>
      </c>
      <c r="AN96" s="4">
        <v>8.67</v>
      </c>
      <c r="AO96" s="4">
        <v>8.77</v>
      </c>
      <c r="AP96" s="4">
        <v>9.2899999999999991</v>
      </c>
      <c r="AQ96" s="4">
        <v>9.18</v>
      </c>
      <c r="AR96" s="4">
        <v>8.91</v>
      </c>
      <c r="AS96" s="4">
        <v>8.9</v>
      </c>
      <c r="AT96" s="4">
        <v>9.42</v>
      </c>
      <c r="AU96" s="4">
        <v>9.4699999999999989</v>
      </c>
      <c r="AV96" s="4">
        <v>9.44</v>
      </c>
      <c r="AW96" s="4">
        <v>9.56</v>
      </c>
      <c r="AX96" s="4">
        <v>9.6300000000000008</v>
      </c>
      <c r="AY96" s="12">
        <v>9.9600000000000009</v>
      </c>
      <c r="AZ96" s="12">
        <v>10.25</v>
      </c>
      <c r="BA96" s="12">
        <v>10.44</v>
      </c>
      <c r="BB96" s="15">
        <v>10.99</v>
      </c>
      <c r="BC96" s="52">
        <v>11.48</v>
      </c>
      <c r="BD96" s="52">
        <v>11.44</v>
      </c>
      <c r="BE96" s="52">
        <v>11.66</v>
      </c>
      <c r="BF96" s="52">
        <v>11.51</v>
      </c>
      <c r="BG96" s="67">
        <v>11.56</v>
      </c>
      <c r="BH96" s="52">
        <v>11.66</v>
      </c>
      <c r="BI96" s="52">
        <v>11.43</v>
      </c>
      <c r="BJ96" s="52">
        <v>11.55</v>
      </c>
      <c r="BK96" s="52">
        <v>11.21</v>
      </c>
      <c r="BL96" s="52">
        <v>11.11</v>
      </c>
      <c r="BM96" s="52">
        <v>10.89</v>
      </c>
      <c r="BN96" s="52">
        <v>11.18</v>
      </c>
      <c r="BO96" s="52" cm="1">
        <f t="array" aca="1" ref="BO96" ca="1">_FV(EC96,"Preço")</f>
        <v>11.18</v>
      </c>
      <c r="BP96" s="69" t="s">
        <v>93</v>
      </c>
      <c r="BQ96" s="36" cm="1">
        <f t="array" aca="1" ref="BQ96" ca="1">_FV(EC96,"Média de volume",TRUE)</f>
        <v>10620800</v>
      </c>
      <c r="BR96" s="36">
        <v>5001600</v>
      </c>
      <c r="BS96" s="36" cm="1">
        <f t="array" aca="1" ref="BS96" ca="1">_FV(EC96,"Volume")</f>
        <v>5001600</v>
      </c>
      <c r="BT96" s="24" cm="1">
        <f t="array" aca="1" ref="BT96" ca="1">_FV(EC96,"Beta")</f>
        <v>0.84519999999999995</v>
      </c>
      <c r="BU96" s="71" cm="1">
        <f t="array" aca="1" ref="BU96" ca="1">_FV(EC96,"Variação (%)",TRUE)</f>
        <v>1.2681E-2</v>
      </c>
      <c r="BW96" s="17" cm="1">
        <f t="array" aca="1" ref="BW96" ca="1">_FV(EC96,"Baixo")</f>
        <v>10.9</v>
      </c>
      <c r="BX96" s="17" cm="1">
        <f t="array" aca="1" ref="BX96" ca="1">_FV(EC96,"Alto")</f>
        <v>11.28</v>
      </c>
      <c r="BY96" s="24"/>
      <c r="BZ96" s="63">
        <f ca="1">SQRT(22.5*(BO96/VLOOKUP(BP96,Fundamentus!A:U,3,FALSE))*(BO96/VLOOKUP(BP96,Fundamentus!A:U,4,FALSE)))</f>
        <v>14.085476027477201</v>
      </c>
      <c r="CB96" s="62">
        <f t="shared" ca="1" si="112"/>
        <v>0</v>
      </c>
      <c r="CC96" s="8"/>
      <c r="CD96" s="61">
        <f t="shared" si="113"/>
        <v>7.93</v>
      </c>
      <c r="CE96" s="61">
        <f t="shared" si="114"/>
        <v>11.66</v>
      </c>
      <c r="CF96" s="61">
        <f t="shared" si="115"/>
        <v>9.382727272727271</v>
      </c>
      <c r="CG96" s="14"/>
      <c r="CH96" s="35">
        <f t="shared" si="98"/>
        <v>10.594342860978445</v>
      </c>
      <c r="CI96" s="15">
        <f t="shared" si="116"/>
        <v>11.019999999999982</v>
      </c>
      <c r="CJ96" s="35">
        <f t="shared" si="99"/>
        <v>11.445657139021518</v>
      </c>
      <c r="CL96" s="14"/>
      <c r="CM96" s="17">
        <f t="shared" si="100"/>
        <v>5.1233333333333313</v>
      </c>
      <c r="CN96" s="17">
        <f t="shared" si="101"/>
        <v>6.5266666666666655</v>
      </c>
      <c r="CO96" s="17">
        <f t="shared" si="102"/>
        <v>8.8533333333333317</v>
      </c>
      <c r="CP96" s="38">
        <f t="shared" si="117"/>
        <v>10.256666666666666</v>
      </c>
      <c r="CQ96" s="17">
        <f t="shared" si="103"/>
        <v>12.583333333333332</v>
      </c>
      <c r="CR96" s="17">
        <f t="shared" si="104"/>
        <v>13.986666666666666</v>
      </c>
      <c r="CS96" s="17">
        <f t="shared" si="105"/>
        <v>16.313333333333333</v>
      </c>
      <c r="CT96" s="2" cm="1">
        <f t="array" aca="1" ref="CT96" ca="1">MAX(_xlfn._xlws.FILTER(CM96:CS96,CM96:CS96&lt;BO96))</f>
        <v>10.256666666666666</v>
      </c>
      <c r="CU96" s="2" cm="1">
        <f t="array" aca="1" ref="CU96" ca="1">MIN(_xlfn._xlws.FILTER($CM96:$CS96,$CM96:$CS96&gt;BO96))</f>
        <v>12.583333333333332</v>
      </c>
      <c r="CV96" s="16">
        <f t="shared" ca="1" si="119"/>
        <v>0.22684432889177764</v>
      </c>
      <c r="CW96" s="20">
        <f t="shared" ca="1" si="120"/>
        <v>-0.11342216444588882</v>
      </c>
      <c r="CX96" s="20">
        <f t="shared" ca="1" si="121"/>
        <v>-7.5614776297259212E-2</v>
      </c>
      <c r="CY96" s="20">
        <f t="shared" ca="1" si="122"/>
        <v>-4.5368865778355527E-2</v>
      </c>
      <c r="CZ96" s="20">
        <f t="shared" ca="1" si="123"/>
        <v>-2.5204925432419738E-2</v>
      </c>
      <c r="DA96" s="20">
        <f t="shared" ca="1" si="124"/>
        <v>-1.3343784052457508E-2</v>
      </c>
      <c r="DB96" s="20">
        <f t="shared" ca="1" si="125"/>
        <v>-6.8740705724781104E-3</v>
      </c>
      <c r="DC96" s="20">
        <f t="shared" ca="1" si="126"/>
        <v>-3.4899127521811945E-3</v>
      </c>
      <c r="DD96" s="21">
        <f t="shared" ca="1" si="127"/>
        <v>3.4899127521811945E-3</v>
      </c>
      <c r="DE96" s="21">
        <f t="shared" ca="1" si="128"/>
        <v>6.8740705724781104E-3</v>
      </c>
      <c r="DF96" s="21">
        <f t="shared" ca="1" si="129"/>
        <v>1.3343784052457508E-2</v>
      </c>
      <c r="DG96" s="21">
        <f t="shared" ca="1" si="130"/>
        <v>2.5204925432419738E-2</v>
      </c>
      <c r="DH96" s="21">
        <f t="shared" ca="1" si="131"/>
        <v>4.5368865778355527E-2</v>
      </c>
      <c r="DI96" s="21">
        <f t="shared" ca="1" si="132"/>
        <v>7.5614776297259212E-2</v>
      </c>
      <c r="DJ96" s="21">
        <f t="shared" ca="1" si="133"/>
        <v>0.11342216444588882</v>
      </c>
      <c r="DL96" s="16" cm="1">
        <f t="array" aca="1" ref="DL96" ca="1">MAX(_xlfn._xlws.FILTER(CW96:DJ96,CW96:DJ96&lt;BU96))</f>
        <v>6.8740705724781104E-3</v>
      </c>
      <c r="DM96" s="16" cm="1">
        <f t="array" aca="1" ref="DM96" ca="1">MIN(_xlfn._xlws.FILTER(CW96:DJ96,CW96:DJ96&gt;BU96))</f>
        <v>1.3343784052457508E-2</v>
      </c>
      <c r="DN96" s="2" cm="1">
        <f t="array" aca="1" ref="DN96" ca="1">_FV(EC96,"Fechamento anterior",TRUE)</f>
        <v>11.04</v>
      </c>
      <c r="DO96" s="28">
        <f t="shared" ca="1" si="106"/>
        <v>0.89758052899589214</v>
      </c>
      <c r="DP96" s="15">
        <f t="shared" ca="1" si="134"/>
        <v>11.115889739120158</v>
      </c>
      <c r="DQ96" s="15">
        <f t="shared" ca="1" si="135"/>
        <v>11.18731537593913</v>
      </c>
      <c r="DR96" s="9"/>
      <c r="DS96" s="9"/>
      <c r="DT96" s="9"/>
      <c r="DU96" s="89">
        <v>3.3578582112784071E-3</v>
      </c>
      <c r="DV96" s="89">
        <f t="shared" ca="1" si="107"/>
        <v>6.4697134799793976E-3</v>
      </c>
      <c r="DW96" s="72">
        <f t="shared" ca="1" si="108"/>
        <v>0.37588938451217307</v>
      </c>
      <c r="DX96" s="37"/>
      <c r="DY96" s="35">
        <f t="shared" si="118"/>
        <v>0.21282856951076859</v>
      </c>
      <c r="DZ96" s="56"/>
      <c r="EA96" s="56"/>
      <c r="EC96" s="2" t="e" vm="96">
        <v>#VALUE!</v>
      </c>
      <c r="EE96" s="10" cm="1">
        <f t="array" aca="1" ref="EE96" ca="1">_FV(EC96,"Ações em circulação",TRUE)</f>
        <v>2982811000</v>
      </c>
      <c r="EF96" s="18">
        <f>VLOOKUP(BP96,Fundamentus!A:U,5,FALSE)</f>
        <v>1.4319999999999999</v>
      </c>
      <c r="EG96" s="2">
        <f t="shared" ca="1" si="109"/>
        <v>23287588673.184357</v>
      </c>
      <c r="EH96" s="17">
        <v>2950537484.892458</v>
      </c>
      <c r="EI96" s="17">
        <f t="shared" ca="1" si="110"/>
        <v>2950537484.892458</v>
      </c>
      <c r="EK96" s="16">
        <f t="shared" ca="1" si="97"/>
        <v>0</v>
      </c>
      <c r="EL96" s="32" t="str">
        <f>IF(VLOOKUP(BP96,Fundamentus!A:U,3,FALSE)&lt;15,"Bom",IF(VLOOKUP(BP96,Fundamentus!A:U,3,FALSE)&gt;15,"Ruim","n/a"))</f>
        <v>Bom</v>
      </c>
      <c r="EM96" s="28" t="str">
        <f>IF(VLOOKUP(BP96,Fundamentus!A:U,4,FALSE)&lt;1,"Baixo",IF(VLOOKUP(BP96,Fundamentus!A:U,4,FALSE)&lt;1.5,"Moderado",IF(VLOOKUP(BP96,Fundamentus!A:U,4,FALSE)&gt;1.5,"Alto","n/a")))</f>
        <v>Moderado</v>
      </c>
      <c r="EN96" s="17" t="str">
        <f>IF(VLOOKUP(BP96,Fundamentus!A:U,8,FALSE)&lt;0,"Risco elevado",IF(VLOOKUP(BP96,Fundamentus!A:U,8,FALSE)&lt;1,"Saudável",IF(VLOOKUP(BP96,Fundamentus!A:U,8,FALSE)&lt;3,"Estável",IF(VLOOKUP(BP96,Fundamentus!A:U,8,FALSE)&gt;3,"Alerta","n/a"))))</f>
        <v>Alerta</v>
      </c>
      <c r="EO96" s="28" t="str">
        <f t="shared" si="111"/>
        <v>Bom</v>
      </c>
      <c r="EP96" s="17" t="str">
        <f>IF(VLOOKUP(BP96,Fundamentus!A:U,12,FALSE)&lt;2,"Subvalorizada",IF(VLOOKUP(BP96,Fundamentus!A:U,12,FALSE)&lt;6,"Muita barata",IF(VLOOKUP(BP96,Fundamentus!A:U,12,FALSE)&lt;6,"Barata",IF(VLOOKUP(BP96,Fundamentus!A:U,12,FALSE)&lt;8,"Atrativa",IF(VLOOKUP(BP96,Fundamentus!A:U,12,FALSE)&gt;8,"Supervalorizada","n/a")))))</f>
        <v>Supervalorizada</v>
      </c>
      <c r="ER96" s="17" t="str">
        <f>IF(VLOOKUP(BP96,Fundamentus!A:U,17,FALSE)&lt;0.1,"Fraco retorno",IF(VLOOKUP(BP96,Fundamentus!A:U,17,FALSE)&gt;0.1,"Bom retorno","n/a"))</f>
        <v>Bom retorno</v>
      </c>
      <c r="ES96" s="17" t="str">
        <f>IF(VLOOKUP(BP96,Fundamentus!A:U,16,FALSE)&lt;0.1,"Ineficiente",IF(VLOOKUP(BP96,Fundamentus!A:U,16,FALSE)&gt;0.1,"Eficiente","n/a"))</f>
        <v>Ineficiente</v>
      </c>
      <c r="ET96" s="33" t="str">
        <f>IF(VLOOKUP(BP96,Fundamentus!A:U,16,FALSE)&lt;0.1,"Oper. Ineficiente",IF(VLOOKUP(BP96,Fundamentus!A:U,16,FALSE)&gt;0.1,"Oper.Eficiente","n/a"))</f>
        <v>Oper. Ineficiente</v>
      </c>
      <c r="EU96" s="34">
        <f>VLOOKUP(BP96,Fundamentus!A:U,14,FALSE)</f>
        <v>0.12670000000000001</v>
      </c>
      <c r="EV96" s="17" t="str">
        <f>IF(VLOOKUP(BP96,Fundamentus!A:U,21,FALSE)&lt;0,"Negativo",IF(VLOOKUP(BP96,Fundamentus!A:U,21,FALSE)&lt;0.05,"Fraco",IF(VLOOKUP(BP96,Fundamentus!A:U,21,FALSE)&lt;0.1,"Bom",IF(VLOOKUP(BP96,Fundamentus!A:U,21,FALSE)&gt;0.1,"Muito bom","n/a"))))</f>
        <v>Fraco</v>
      </c>
      <c r="EX96" s="29" t="str">
        <f>IF(VLOOKUP(BP96,Fundamentus!A:U,15,FALSE)&gt;1,"Bom",IF(VLOOKUP(BP96,Fundamentus!A:U,15,FALSE)&lt;1,"Ruim","n/a"))</f>
        <v>Bom</v>
      </c>
      <c r="EY96" s="17" t="str">
        <f>IF(VLOOKUP(BP96,Fundamentus!A:U,20,FALSE)&lt;0.5,"Baixa",IF(VLOOKUP(BP96,Fundamentus!A:U,20,FALSE)&lt;1,"Moderada",IF(VLOOKUP(BP96,Fundamentus!A:U,20,FALSE)&lt;2,"Alerta",IF(VLOOKUP(BP96,Fundamentus!A:U,20,FALSE)&gt;2,"Alta","n/a"))))</f>
        <v>Moderada</v>
      </c>
      <c r="EZ96" s="10"/>
    </row>
    <row r="97" spans="1:156" s="2" customFormat="1" ht="11.25" x14ac:dyDescent="0.2">
      <c r="A97" s="4">
        <v>42.01</v>
      </c>
      <c r="B97" s="4">
        <v>44.47</v>
      </c>
      <c r="C97" s="4">
        <v>38.57</v>
      </c>
      <c r="D97" s="4">
        <v>38.380000000000003</v>
      </c>
      <c r="E97" s="4">
        <v>40.700000000000003</v>
      </c>
      <c r="F97" s="4">
        <v>38.590000000000003</v>
      </c>
      <c r="G97" s="4">
        <v>36.630000000000003</v>
      </c>
      <c r="H97" s="4">
        <v>38.31</v>
      </c>
      <c r="I97" s="4">
        <v>40.28</v>
      </c>
      <c r="J97" s="4">
        <v>40.28</v>
      </c>
      <c r="K97" s="4">
        <v>40.880000000000003</v>
      </c>
      <c r="L97" s="4">
        <v>41.71</v>
      </c>
      <c r="M97" s="4">
        <v>40.85</v>
      </c>
      <c r="N97" s="4">
        <v>38.64</v>
      </c>
      <c r="O97" s="4">
        <v>39.36</v>
      </c>
      <c r="P97" s="4">
        <v>41.58</v>
      </c>
      <c r="Q97" s="4">
        <v>39.39</v>
      </c>
      <c r="R97" s="4">
        <v>42.94</v>
      </c>
      <c r="S97" s="4">
        <v>41.13</v>
      </c>
      <c r="T97" s="4">
        <v>40.369999999999997</v>
      </c>
      <c r="U97" s="4">
        <v>39.700000000000003</v>
      </c>
      <c r="V97" s="4">
        <v>39.520000000000003</v>
      </c>
      <c r="W97" s="4">
        <v>41.36</v>
      </c>
      <c r="X97" s="4">
        <v>41.44</v>
      </c>
      <c r="Y97" s="4">
        <v>39.450000000000003</v>
      </c>
      <c r="Z97" s="4">
        <v>39.4</v>
      </c>
      <c r="AA97" s="4">
        <v>38.299999999999997</v>
      </c>
      <c r="AB97" s="4">
        <v>38.92</v>
      </c>
      <c r="AC97" s="4">
        <v>40.51</v>
      </c>
      <c r="AD97" s="4">
        <v>43.24</v>
      </c>
      <c r="AE97" s="4">
        <v>42.51</v>
      </c>
      <c r="AF97" s="4">
        <v>42.11</v>
      </c>
      <c r="AG97" s="4">
        <v>41.07</v>
      </c>
      <c r="AH97" s="4">
        <v>40.020000000000003</v>
      </c>
      <c r="AI97" s="4">
        <v>38.840000000000003</v>
      </c>
      <c r="AJ97" s="4">
        <v>40.380000000000003</v>
      </c>
      <c r="AK97" s="4">
        <v>40.92</v>
      </c>
      <c r="AL97" s="4">
        <v>41.6</v>
      </c>
      <c r="AM97" s="4">
        <v>40.630000000000003</v>
      </c>
      <c r="AN97" s="4">
        <v>41.65</v>
      </c>
      <c r="AO97" s="4">
        <v>39.700000000000003</v>
      </c>
      <c r="AP97" s="4">
        <v>40.85</v>
      </c>
      <c r="AQ97" s="4">
        <v>42.26</v>
      </c>
      <c r="AR97" s="4">
        <v>39.049999999999997</v>
      </c>
      <c r="AS97" s="4">
        <v>37.42</v>
      </c>
      <c r="AT97" s="4">
        <v>38.409999999999997</v>
      </c>
      <c r="AU97" s="4">
        <v>40.22</v>
      </c>
      <c r="AV97" s="4">
        <v>41.07</v>
      </c>
      <c r="AW97" s="4">
        <v>37.729999999999997</v>
      </c>
      <c r="AX97" s="4">
        <v>33.92</v>
      </c>
      <c r="AY97" s="12">
        <v>33.17</v>
      </c>
      <c r="AZ97" s="12">
        <v>32.67</v>
      </c>
      <c r="BA97" s="12">
        <v>32.049999999999997</v>
      </c>
      <c r="BB97" s="15">
        <v>33.03</v>
      </c>
      <c r="BC97" s="52">
        <v>34.19</v>
      </c>
      <c r="BD97" s="52">
        <v>33.479999999999997</v>
      </c>
      <c r="BE97" s="52">
        <v>32.909999999999997</v>
      </c>
      <c r="BF97" s="52">
        <v>31.57</v>
      </c>
      <c r="BG97" s="67">
        <v>34.979999999999997</v>
      </c>
      <c r="BH97" s="52">
        <v>35.909999999999997</v>
      </c>
      <c r="BI97" s="52">
        <v>33.799999999999997</v>
      </c>
      <c r="BJ97" s="52">
        <v>35.15</v>
      </c>
      <c r="BK97" s="52">
        <v>35.54</v>
      </c>
      <c r="BL97" s="52">
        <v>33.64</v>
      </c>
      <c r="BM97" s="52">
        <v>35.04</v>
      </c>
      <c r="BN97" s="52">
        <v>35.28</v>
      </c>
      <c r="BO97" s="52" cm="1">
        <f t="array" aca="1" ref="BO97" ca="1">_FV(EC97,"Preço")</f>
        <v>35.28</v>
      </c>
      <c r="BP97" s="69" t="s">
        <v>94</v>
      </c>
      <c r="BQ97" s="36" cm="1">
        <f t="array" aca="1" ref="BQ97" ca="1">_FV(EC97,"Média de volume",TRUE)</f>
        <v>23476880</v>
      </c>
      <c r="BR97" s="36">
        <v>5712700</v>
      </c>
      <c r="BS97" s="36" cm="1">
        <f t="array" aca="1" ref="BS97" ca="1">_FV(EC97,"Volume")</f>
        <v>5712700</v>
      </c>
      <c r="BT97" s="24" cm="1">
        <f t="array" aca="1" ref="BT97" ca="1">_FV(EC97,"Beta")</f>
        <v>1.0201</v>
      </c>
      <c r="BU97" s="71" cm="1">
        <f t="array" aca="1" ref="BU97" ca="1">_FV(EC97,"Variação (%)",TRUE)</f>
        <v>-1.4250000000000001E-2</v>
      </c>
      <c r="BW97" s="17" cm="1">
        <f t="array" aca="1" ref="BW97" ca="1">_FV(EC97,"Baixo")</f>
        <v>34.950000000000003</v>
      </c>
      <c r="BX97" s="17" cm="1">
        <f t="array" aca="1" ref="BX97" ca="1">_FV(EC97,"Alto")</f>
        <v>36.17</v>
      </c>
      <c r="BY97" s="24"/>
      <c r="BZ97" s="63">
        <f ca="1">SQRT(22.5*(BO97/VLOOKUP(BP97,Fundamentus!A:U,3,FALSE))*(BO97/VLOOKUP(BP97,Fundamentus!A:U,4,FALSE)))</f>
        <v>51.53945144867042</v>
      </c>
      <c r="CB97" s="62">
        <f t="shared" ca="1" si="112"/>
        <v>0</v>
      </c>
      <c r="CC97" s="8"/>
      <c r="CD97" s="61">
        <f t="shared" si="113"/>
        <v>31.57</v>
      </c>
      <c r="CE97" s="61">
        <f t="shared" si="114"/>
        <v>44.47</v>
      </c>
      <c r="CF97" s="61">
        <f t="shared" si="115"/>
        <v>38.63151515151516</v>
      </c>
      <c r="CG97" s="14"/>
      <c r="CH97" s="35">
        <f t="shared" si="98"/>
        <v>33.697573641809832</v>
      </c>
      <c r="CI97" s="15">
        <f t="shared" si="116"/>
        <v>35.03000000000003</v>
      </c>
      <c r="CJ97" s="35">
        <f t="shared" si="99"/>
        <v>36.362426358190227</v>
      </c>
      <c r="CL97" s="14"/>
      <c r="CM97" s="17">
        <f t="shared" si="100"/>
        <v>16.843333333333327</v>
      </c>
      <c r="CN97" s="17">
        <f t="shared" si="101"/>
        <v>24.206666666666663</v>
      </c>
      <c r="CO97" s="17">
        <f t="shared" si="102"/>
        <v>29.743333333333325</v>
      </c>
      <c r="CP97" s="38">
        <f t="shared" si="117"/>
        <v>37.106666666666662</v>
      </c>
      <c r="CQ97" s="17">
        <f t="shared" si="103"/>
        <v>42.643333333333324</v>
      </c>
      <c r="CR97" s="17">
        <f t="shared" si="104"/>
        <v>50.006666666666661</v>
      </c>
      <c r="CS97" s="17">
        <f t="shared" si="105"/>
        <v>55.543333333333322</v>
      </c>
      <c r="CT97" s="2" cm="1">
        <f t="array" aca="1" ref="CT97" ca="1">MAX(_xlfn._xlws.FILTER(CM97:CS97,CM97:CS97&lt;BO97))</f>
        <v>29.743333333333325</v>
      </c>
      <c r="CU97" s="2" cm="1">
        <f t="array" aca="1" ref="CU97" ca="1">MIN(_xlfn._xlws.FILTER($CM97:$CS97,$CM97:$CS97&gt;BO97))</f>
        <v>37.106666666666662</v>
      </c>
      <c r="CV97" s="16">
        <f t="shared" ca="1" si="119"/>
        <v>0.24756247898688799</v>
      </c>
      <c r="CW97" s="20">
        <f t="shared" ca="1" si="120"/>
        <v>-0.123781239493444</v>
      </c>
      <c r="CX97" s="20">
        <f t="shared" ca="1" si="121"/>
        <v>-8.2520826328962668E-2</v>
      </c>
      <c r="CY97" s="20">
        <f t="shared" ca="1" si="122"/>
        <v>-4.9512495797377598E-2</v>
      </c>
      <c r="CZ97" s="20">
        <f t="shared" ca="1" si="123"/>
        <v>-2.7506942109654223E-2</v>
      </c>
      <c r="DA97" s="20">
        <f t="shared" ca="1" si="124"/>
        <v>-1.4562498763934588E-2</v>
      </c>
      <c r="DB97" s="20">
        <f t="shared" ca="1" si="125"/>
        <v>-7.5018933026329698E-3</v>
      </c>
      <c r="DC97" s="20">
        <f t="shared" ca="1" si="126"/>
        <v>-3.8086535228751997E-3</v>
      </c>
      <c r="DD97" s="21">
        <f t="shared" ca="1" si="127"/>
        <v>3.8086535228751997E-3</v>
      </c>
      <c r="DE97" s="21">
        <f t="shared" ca="1" si="128"/>
        <v>7.5018933026329698E-3</v>
      </c>
      <c r="DF97" s="21">
        <f t="shared" ca="1" si="129"/>
        <v>1.4562498763934588E-2</v>
      </c>
      <c r="DG97" s="21">
        <f t="shared" ca="1" si="130"/>
        <v>2.7506942109654223E-2</v>
      </c>
      <c r="DH97" s="21">
        <f t="shared" ca="1" si="131"/>
        <v>4.9512495797377598E-2</v>
      </c>
      <c r="DI97" s="21">
        <f t="shared" ca="1" si="132"/>
        <v>8.2520826328962668E-2</v>
      </c>
      <c r="DJ97" s="21">
        <f t="shared" ca="1" si="133"/>
        <v>0.123781239493444</v>
      </c>
      <c r="DL97" s="16" cm="1">
        <f t="array" aca="1" ref="DL97" ca="1">MAX(_xlfn._xlws.FILTER(CW97:DJ97,CW97:DJ97&lt;BU97))</f>
        <v>-1.4562498763934588E-2</v>
      </c>
      <c r="DM97" s="16" cm="1">
        <f t="array" aca="1" ref="DM97" ca="1">MIN(_xlfn._xlws.FILTER(CW97:DJ97,CW97:DJ97&gt;BU97))</f>
        <v>-7.5018933026329698E-3</v>
      </c>
      <c r="DN97" s="2" cm="1">
        <f t="array" aca="1" ref="DN97" ca="1">_FV(EC97,"Fechamento anterior",TRUE)</f>
        <v>35.79</v>
      </c>
      <c r="DO97" s="28">
        <f t="shared" ca="1" si="106"/>
        <v>4.4289164915156824E-2</v>
      </c>
      <c r="DP97" s="15">
        <f t="shared" ca="1" si="134"/>
        <v>35.268808169238781</v>
      </c>
      <c r="DQ97" s="15">
        <f t="shared" ca="1" si="135"/>
        <v>35.521507238698767</v>
      </c>
      <c r="DR97" s="9"/>
      <c r="DS97" s="9"/>
      <c r="DT97" s="9"/>
      <c r="DU97" s="89">
        <v>4.1188363701452728E-3</v>
      </c>
      <c r="DV97" s="89">
        <f t="shared" ca="1" si="107"/>
        <v>7.0606054613016177E-3</v>
      </c>
      <c r="DW97" s="72">
        <f t="shared" ca="1" si="108"/>
        <v>0.18762763019754469</v>
      </c>
      <c r="DX97" s="37"/>
      <c r="DY97" s="35">
        <f t="shared" si="118"/>
        <v>0.66621317909509981</v>
      </c>
      <c r="DZ97" s="56"/>
      <c r="EA97" s="56"/>
      <c r="EC97" s="2" t="e" vm="97">
        <v>#VALUE!</v>
      </c>
      <c r="EE97" s="10" cm="1">
        <f t="array" aca="1" ref="EE97" ca="1">_FV(EC97,"Ações em circulação",TRUE)</f>
        <v>12888730000</v>
      </c>
      <c r="EF97" s="18">
        <f>VLOOKUP(BP97,Fundamentus!A:U,5,FALSE)</f>
        <v>0.90500000000000003</v>
      </c>
      <c r="EG97" s="2">
        <f t="shared" ca="1" si="109"/>
        <v>502446844640.88397</v>
      </c>
      <c r="EH97" s="17">
        <v>49139301405.878448</v>
      </c>
      <c r="EI97" s="17">
        <f t="shared" ca="1" si="110"/>
        <v>49139301405.878448</v>
      </c>
      <c r="EK97" s="16">
        <f t="shared" ca="1" si="97"/>
        <v>0</v>
      </c>
      <c r="EL97" s="32" t="str">
        <f>IF(VLOOKUP(BP97,Fundamentus!A:U,3,FALSE)&lt;15,"Bom",IF(VLOOKUP(BP97,Fundamentus!A:U,3,FALSE)&gt;15,"Ruim","n/a"))</f>
        <v>Bom</v>
      </c>
      <c r="EM97" s="28" t="str">
        <f>IF(VLOOKUP(BP97,Fundamentus!A:U,4,FALSE)&lt;1,"Baixo",IF(VLOOKUP(BP97,Fundamentus!A:U,4,FALSE)&lt;1.5,"Moderado",IF(VLOOKUP(BP97,Fundamentus!A:U,4,FALSE)&gt;1.5,"Alto","n/a")))</f>
        <v>Moderado</v>
      </c>
      <c r="EN97" s="17" t="str">
        <f>IF(VLOOKUP(BP97,Fundamentus!A:U,8,FALSE)&lt;0,"Risco elevado",IF(VLOOKUP(BP97,Fundamentus!A:U,8,FALSE)&lt;1,"Saudável",IF(VLOOKUP(BP97,Fundamentus!A:U,8,FALSE)&lt;3,"Estável",IF(VLOOKUP(BP97,Fundamentus!A:U,8,FALSE)&gt;3,"Alerta","n/a"))))</f>
        <v>Risco elevado</v>
      </c>
      <c r="EO97" s="28" t="str">
        <f t="shared" si="111"/>
        <v>Ruim</v>
      </c>
      <c r="EP97" s="17" t="str">
        <f>IF(VLOOKUP(BP97,Fundamentus!A:U,12,FALSE)&lt;2,"Subvalorizada",IF(VLOOKUP(BP97,Fundamentus!A:U,12,FALSE)&lt;6,"Muita barata",IF(VLOOKUP(BP97,Fundamentus!A:U,12,FALSE)&lt;6,"Barata",IF(VLOOKUP(BP97,Fundamentus!A:U,12,FALSE)&lt;8,"Atrativa",IF(VLOOKUP(BP97,Fundamentus!A:U,12,FALSE)&gt;8,"Supervalorizada","n/a")))))</f>
        <v>Muita barata</v>
      </c>
      <c r="ER97" s="17" t="str">
        <f>IF(VLOOKUP(BP97,Fundamentus!A:U,17,FALSE)&lt;0.1,"Fraco retorno",IF(VLOOKUP(BP97,Fundamentus!A:U,17,FALSE)&gt;0.1,"Bom retorno","n/a"))</f>
        <v>Bom retorno</v>
      </c>
      <c r="ES97" s="17" t="str">
        <f>IF(VLOOKUP(BP97,Fundamentus!A:U,16,FALSE)&lt;0.1,"Ineficiente",IF(VLOOKUP(BP97,Fundamentus!A:U,16,FALSE)&gt;0.1,"Eficiente","n/a"))</f>
        <v>Eficiente</v>
      </c>
      <c r="ET97" s="33" t="str">
        <f>IF(VLOOKUP(BP97,Fundamentus!A:U,16,FALSE)&lt;0.1,"Oper. Ineficiente",IF(VLOOKUP(BP97,Fundamentus!A:U,16,FALSE)&gt;0.1,"Oper.Eficiente","n/a"))</f>
        <v>Oper.Eficiente</v>
      </c>
      <c r="EU97" s="34">
        <f>VLOOKUP(BP97,Fundamentus!A:U,14,FALSE)</f>
        <v>9.7799999999999998E-2</v>
      </c>
      <c r="EV97" s="17" t="str">
        <f>IF(VLOOKUP(BP97,Fundamentus!A:U,21,FALSE)&lt;0,"Negativo",IF(VLOOKUP(BP97,Fundamentus!A:U,21,FALSE)&lt;0.05,"Fraco",IF(VLOOKUP(BP97,Fundamentus!A:U,21,FALSE)&lt;0.1,"Bom",IF(VLOOKUP(BP97,Fundamentus!A:U,21,FALSE)&gt;0.1,"Muito bom","n/a"))))</f>
        <v>Muito bom</v>
      </c>
      <c r="EX97" s="29" t="str">
        <f>IF(VLOOKUP(BP97,Fundamentus!A:U,15,FALSE)&gt;1,"Bom",IF(VLOOKUP(BP97,Fundamentus!A:U,15,FALSE)&lt;1,"Ruim","n/a"))</f>
        <v>Ruim</v>
      </c>
      <c r="EY97" s="17" t="str">
        <f>IF(VLOOKUP(BP97,Fundamentus!A:U,20,FALSE)&lt;0.5,"Baixa",IF(VLOOKUP(BP97,Fundamentus!A:U,20,FALSE)&lt;1,"Moderada",IF(VLOOKUP(BP97,Fundamentus!A:U,20,FALSE)&lt;2,"Alerta",IF(VLOOKUP(BP97,Fundamentus!A:U,20,FALSE)&gt;2,"Alta","n/a"))))</f>
        <v>Moderada</v>
      </c>
      <c r="EZ97" s="10"/>
    </row>
    <row r="98" spans="1:156" s="2" customFormat="1" ht="11.25" x14ac:dyDescent="0.2">
      <c r="A98" s="4">
        <v>12.49</v>
      </c>
      <c r="B98" s="4">
        <v>11.96</v>
      </c>
      <c r="C98" s="4">
        <v>12.02</v>
      </c>
      <c r="D98" s="4">
        <v>11.65</v>
      </c>
      <c r="E98" s="4">
        <v>11.45</v>
      </c>
      <c r="F98" s="4">
        <v>11.48</v>
      </c>
      <c r="G98" s="4">
        <v>11.38</v>
      </c>
      <c r="H98" s="4">
        <v>11.14</v>
      </c>
      <c r="I98" s="4">
        <v>11.19</v>
      </c>
      <c r="J98" s="4">
        <v>11.32</v>
      </c>
      <c r="K98" s="4">
        <v>11.56</v>
      </c>
      <c r="L98" s="4">
        <v>11.46</v>
      </c>
      <c r="M98" s="4">
        <v>11.33</v>
      </c>
      <c r="N98" s="4">
        <v>11.33</v>
      </c>
      <c r="O98" s="4">
        <v>13.03</v>
      </c>
      <c r="P98" s="4">
        <v>13.32</v>
      </c>
      <c r="Q98" s="4">
        <v>14.2</v>
      </c>
      <c r="R98" s="4">
        <v>14.14</v>
      </c>
      <c r="S98" s="4">
        <v>14.17</v>
      </c>
      <c r="T98" s="4">
        <v>13.95</v>
      </c>
      <c r="U98" s="4">
        <v>13.25</v>
      </c>
      <c r="V98" s="4">
        <v>13.24</v>
      </c>
      <c r="W98" s="4">
        <v>13.29</v>
      </c>
      <c r="X98" s="4">
        <v>12.99</v>
      </c>
      <c r="Y98" s="4">
        <v>13.18</v>
      </c>
      <c r="Z98" s="4">
        <v>13.11</v>
      </c>
      <c r="AA98" s="4">
        <v>12.52</v>
      </c>
      <c r="AB98" s="4">
        <v>12.05</v>
      </c>
      <c r="AC98" s="4">
        <v>12.02</v>
      </c>
      <c r="AD98" s="4">
        <v>12.14</v>
      </c>
      <c r="AE98" s="4">
        <v>11.13</v>
      </c>
      <c r="AF98" s="4">
        <v>11.12</v>
      </c>
      <c r="AG98" s="4">
        <v>11.06</v>
      </c>
      <c r="AH98" s="4">
        <v>10.61</v>
      </c>
      <c r="AI98" s="4">
        <v>10.65</v>
      </c>
      <c r="AJ98" s="4">
        <v>10.32</v>
      </c>
      <c r="AK98" s="4">
        <v>10.31</v>
      </c>
      <c r="AL98" s="4">
        <v>10.65</v>
      </c>
      <c r="AM98" s="4">
        <v>10.42</v>
      </c>
      <c r="AN98" s="4">
        <v>11.02</v>
      </c>
      <c r="AO98" s="4">
        <v>10.88</v>
      </c>
      <c r="AP98" s="4">
        <v>11.11</v>
      </c>
      <c r="AQ98" s="4">
        <v>10.88</v>
      </c>
      <c r="AR98" s="4">
        <v>10.36</v>
      </c>
      <c r="AS98" s="4">
        <v>10.74</v>
      </c>
      <c r="AT98" s="4">
        <v>11.09</v>
      </c>
      <c r="AU98" s="4">
        <v>11.3</v>
      </c>
      <c r="AV98" s="4">
        <v>11.62</v>
      </c>
      <c r="AW98" s="4">
        <v>11.17</v>
      </c>
      <c r="AX98" s="4">
        <v>11.18</v>
      </c>
      <c r="AY98" s="12">
        <v>11.42</v>
      </c>
      <c r="AZ98" s="12">
        <v>11.97</v>
      </c>
      <c r="BA98" s="12">
        <v>12.23</v>
      </c>
      <c r="BB98" s="15">
        <v>13.4</v>
      </c>
      <c r="BC98" s="52">
        <v>13.4</v>
      </c>
      <c r="BD98" s="52">
        <v>13.53</v>
      </c>
      <c r="BE98" s="52">
        <v>13.98</v>
      </c>
      <c r="BF98" s="52">
        <v>13.78</v>
      </c>
      <c r="BG98" s="67">
        <v>14.11</v>
      </c>
      <c r="BH98" s="52">
        <v>14.29</v>
      </c>
      <c r="BI98" s="52">
        <v>14.28</v>
      </c>
      <c r="BJ98" s="52">
        <v>14.41</v>
      </c>
      <c r="BK98" s="52">
        <v>13.83</v>
      </c>
      <c r="BL98" s="52">
        <v>13.45</v>
      </c>
      <c r="BM98" s="52">
        <v>13.38</v>
      </c>
      <c r="BN98" s="52">
        <v>13.38</v>
      </c>
      <c r="BO98" s="52" cm="1">
        <f t="array" aca="1" ref="BO98" ca="1">_FV(EC98,"Preço")</f>
        <v>13.38</v>
      </c>
      <c r="BP98" s="69" t="s">
        <v>95</v>
      </c>
      <c r="BQ98" s="36" cm="1">
        <f t="array" aca="1" ref="BQ98" ca="1">_FV(EC98,"Média de volume",TRUE)</f>
        <v>32706350</v>
      </c>
      <c r="BR98" s="36">
        <v>5418400</v>
      </c>
      <c r="BS98" s="36" cm="1">
        <f t="array" aca="1" ref="BS98" ca="1">_FV(EC98,"Volume")</f>
        <v>5418400</v>
      </c>
      <c r="BT98" s="24" cm="1">
        <f t="array" aca="1" ref="BT98" ca="1">_FV(EC98,"Beta")</f>
        <v>1.4981</v>
      </c>
      <c r="BU98" s="71" cm="1">
        <f t="array" aca="1" ref="BU98" ca="1">_FV(EC98,"Variação (%)",TRUE)</f>
        <v>-1.493E-3</v>
      </c>
      <c r="BW98" s="17" cm="1">
        <f t="array" aca="1" ref="BW98" ca="1">_FV(EC98,"Baixo")</f>
        <v>13.36</v>
      </c>
      <c r="BX98" s="17" cm="1">
        <f t="array" aca="1" ref="BX98" ca="1">_FV(EC98,"Alto")</f>
        <v>13.66</v>
      </c>
      <c r="BY98" s="24"/>
      <c r="BZ98" s="63">
        <f ca="1">SQRT(22.5*(BO98/VLOOKUP(BP98,Fundamentus!A:U,3,FALSE))*(BO98/VLOOKUP(BP98,Fundamentus!A:U,4,FALSE)))</f>
        <v>25.608157080094855</v>
      </c>
      <c r="CB98" s="62">
        <f t="shared" ca="1" si="112"/>
        <v>0</v>
      </c>
      <c r="CC98" s="8"/>
      <c r="CD98" s="61">
        <f t="shared" si="113"/>
        <v>10.31</v>
      </c>
      <c r="CE98" s="61">
        <f t="shared" si="114"/>
        <v>14.41</v>
      </c>
      <c r="CF98" s="61">
        <f t="shared" si="115"/>
        <v>12.194242424242422</v>
      </c>
      <c r="CG98" s="14"/>
      <c r="CH98" s="35">
        <f t="shared" si="98"/>
        <v>12.361123435287297</v>
      </c>
      <c r="CI98" s="15">
        <f t="shared" si="116"/>
        <v>13.154999999999973</v>
      </c>
      <c r="CJ98" s="35">
        <f t="shared" si="99"/>
        <v>13.948876564712648</v>
      </c>
      <c r="CL98" s="14"/>
      <c r="CM98" s="17">
        <f t="shared" si="100"/>
        <v>6.8900000000000023</v>
      </c>
      <c r="CN98" s="17">
        <f t="shared" si="101"/>
        <v>8.6000000000000014</v>
      </c>
      <c r="CO98" s="17">
        <f t="shared" si="102"/>
        <v>10.990000000000002</v>
      </c>
      <c r="CP98" s="38">
        <f t="shared" si="117"/>
        <v>12.700000000000001</v>
      </c>
      <c r="CQ98" s="17">
        <f t="shared" si="103"/>
        <v>15.090000000000002</v>
      </c>
      <c r="CR98" s="17">
        <f t="shared" si="104"/>
        <v>16.8</v>
      </c>
      <c r="CS98" s="17">
        <f t="shared" si="105"/>
        <v>19.190000000000001</v>
      </c>
      <c r="CT98" s="2" cm="1">
        <f t="array" aca="1" ref="CT98" ca="1">MAX(_xlfn._xlws.FILTER(CM98:CS98,CM98:CS98&lt;BO98))</f>
        <v>12.700000000000001</v>
      </c>
      <c r="CU98" s="2" cm="1">
        <f t="array" aca="1" ref="CU98" ca="1">MIN(_xlfn._xlws.FILTER($CM98:$CS98,$CM98:$CS98&gt;BO98))</f>
        <v>15.090000000000002</v>
      </c>
      <c r="CV98" s="16">
        <f t="shared" ca="1" si="119"/>
        <v>0.18818897637795273</v>
      </c>
      <c r="CW98" s="20">
        <f t="shared" ca="1" si="120"/>
        <v>-9.4094488188976366E-2</v>
      </c>
      <c r="CX98" s="20">
        <f t="shared" ca="1" si="121"/>
        <v>-6.2729658792650911E-2</v>
      </c>
      <c r="CY98" s="20">
        <f t="shared" ca="1" si="122"/>
        <v>-3.7637795275590545E-2</v>
      </c>
      <c r="CZ98" s="20">
        <f t="shared" ca="1" si="123"/>
        <v>-2.090988626421697E-2</v>
      </c>
      <c r="DA98" s="20">
        <f t="shared" ca="1" si="124"/>
        <v>-1.1069939786938396E-2</v>
      </c>
      <c r="DB98" s="20">
        <f t="shared" ca="1" si="125"/>
        <v>-5.7026962538773559E-3</v>
      </c>
      <c r="DC98" s="20">
        <f t="shared" ca="1" si="126"/>
        <v>-2.8952150211992728E-3</v>
      </c>
      <c r="DD98" s="21">
        <f t="shared" ca="1" si="127"/>
        <v>2.8952150211992728E-3</v>
      </c>
      <c r="DE98" s="21">
        <f t="shared" ca="1" si="128"/>
        <v>5.7026962538773559E-3</v>
      </c>
      <c r="DF98" s="21">
        <f t="shared" ca="1" si="129"/>
        <v>1.1069939786938396E-2</v>
      </c>
      <c r="DG98" s="21">
        <f t="shared" ca="1" si="130"/>
        <v>2.090988626421697E-2</v>
      </c>
      <c r="DH98" s="21">
        <f t="shared" ca="1" si="131"/>
        <v>3.7637795275590545E-2</v>
      </c>
      <c r="DI98" s="21">
        <f t="shared" ca="1" si="132"/>
        <v>6.2729658792650911E-2</v>
      </c>
      <c r="DJ98" s="21">
        <f t="shared" ca="1" si="133"/>
        <v>9.4094488188976366E-2</v>
      </c>
      <c r="DL98" s="16" cm="1">
        <f t="array" aca="1" ref="DL98" ca="1">MAX(_xlfn._xlws.FILTER(CW98:DJ98,CW98:DJ98&lt;BU98))</f>
        <v>-2.8952150211992728E-3</v>
      </c>
      <c r="DM98" s="16" cm="1">
        <f t="array" aca="1" ref="DM98" ca="1">MIN(_xlfn._xlws.FILTER(CW98:DJ98,CW98:DJ98&gt;BU98))</f>
        <v>2.8952150211992728E-3</v>
      </c>
      <c r="DN98" s="2" cm="1">
        <f t="array" aca="1" ref="DN98" ca="1">_FV(EC98,"Fechamento anterior",TRUE)</f>
        <v>13.4</v>
      </c>
      <c r="DO98" s="28">
        <f t="shared" ca="1" si="106"/>
        <v>0.24224067944795283</v>
      </c>
      <c r="DP98" s="15">
        <f t="shared" ca="1" si="134"/>
        <v>13.36120411871593</v>
      </c>
      <c r="DQ98" s="15">
        <f t="shared" ca="1" si="135"/>
        <v>13.43879588128407</v>
      </c>
      <c r="DR98" s="9"/>
      <c r="DS98" s="9"/>
      <c r="DT98" s="9"/>
      <c r="DU98" s="89">
        <v>5.409704310904824E-3</v>
      </c>
      <c r="DV98" s="89">
        <f t="shared" ca="1" si="107"/>
        <v>5.7904300423985457E-3</v>
      </c>
      <c r="DW98" s="72">
        <f t="shared" ca="1" si="108"/>
        <v>0.28341937525446581</v>
      </c>
      <c r="DX98" s="37"/>
      <c r="DY98" s="35">
        <f t="shared" si="118"/>
        <v>0.39693828235633799</v>
      </c>
      <c r="DZ98" s="56"/>
      <c r="EA98" s="56"/>
      <c r="EC98" s="2" t="e" vm="98">
        <v>#VALUE!</v>
      </c>
      <c r="EE98" s="10" cm="1">
        <f t="array" aca="1" ref="EE98" ca="1">_FV(EC98,"Ações em circulação",TRUE)</f>
        <v>10592010000</v>
      </c>
      <c r="EF98" s="18">
        <f>VLOOKUP(BP98,Fundamentus!A:U,5,FALSE)</f>
        <v>0</v>
      </c>
      <c r="EG98" s="2" t="e">
        <f t="shared" ca="1" si="109"/>
        <v>#DIV/0!</v>
      </c>
      <c r="EH98" s="17" t="e">
        <v>#DIV/0!</v>
      </c>
      <c r="EI98" s="17" t="e">
        <f t="shared" ca="1" si="110"/>
        <v>#DIV/0!</v>
      </c>
      <c r="EK98" s="16" t="e">
        <f t="shared" ca="1" si="97"/>
        <v>#DIV/0!</v>
      </c>
      <c r="EL98" s="32" t="str">
        <f>IF(VLOOKUP(BP98,Fundamentus!A:U,3,FALSE)&lt;15,"Bom",IF(VLOOKUP(BP98,Fundamentus!A:U,3,FALSE)&gt;15,"Ruim","n/a"))</f>
        <v>Bom</v>
      </c>
      <c r="EM98" s="28" t="str">
        <f>IF(VLOOKUP(BP98,Fundamentus!A:U,4,FALSE)&lt;1,"Baixo",IF(VLOOKUP(BP98,Fundamentus!A:U,4,FALSE)&lt;1.5,"Moderado",IF(VLOOKUP(BP98,Fundamentus!A:U,4,FALSE)&gt;1.5,"Alto","n/a")))</f>
        <v>Baixo</v>
      </c>
      <c r="EN98" s="17" t="str">
        <f>IF(VLOOKUP(BP98,Fundamentus!A:U,8,FALSE)&lt;0,"Risco elevado",IF(VLOOKUP(BP98,Fundamentus!A:U,8,FALSE)&lt;1,"Saudável",IF(VLOOKUP(BP98,Fundamentus!A:U,8,FALSE)&lt;3,"Estável",IF(VLOOKUP(BP98,Fundamentus!A:U,8,FALSE)&gt;3,"Alerta","n/a"))))</f>
        <v>Saudável</v>
      </c>
      <c r="EO98" s="28" t="str">
        <f t="shared" si="111"/>
        <v>Ruim</v>
      </c>
      <c r="EP98" s="17" t="str">
        <f>IF(VLOOKUP(BP98,Fundamentus!A:U,12,FALSE)&lt;2,"Subvalorizada",IF(VLOOKUP(BP98,Fundamentus!A:U,12,FALSE)&lt;6,"Muita barata",IF(VLOOKUP(BP98,Fundamentus!A:U,12,FALSE)&lt;6,"Barata",IF(VLOOKUP(BP98,Fundamentus!A:U,12,FALSE)&lt;8,"Atrativa",IF(VLOOKUP(BP98,Fundamentus!A:U,12,FALSE)&gt;8,"Supervalorizada","n/a")))))</f>
        <v>Subvalorizada</v>
      </c>
      <c r="ER98" s="17" t="str">
        <f>IF(VLOOKUP(BP98,Fundamentus!A:U,17,FALSE)&lt;0.1,"Fraco retorno",IF(VLOOKUP(BP98,Fundamentus!A:U,17,FALSE)&gt;0.1,"Bom retorno","n/a"))</f>
        <v>Bom retorno</v>
      </c>
      <c r="ES98" s="17" t="str">
        <f>IF(VLOOKUP(BP98,Fundamentus!A:U,16,FALSE)&lt;0.1,"Ineficiente",IF(VLOOKUP(BP98,Fundamentus!A:U,16,FALSE)&gt;0.1,"Eficiente","n/a"))</f>
        <v>Ineficiente</v>
      </c>
      <c r="ET98" s="33" t="str">
        <f>IF(VLOOKUP(BP98,Fundamentus!A:U,16,FALSE)&lt;0.1,"Oper. Ineficiente",IF(VLOOKUP(BP98,Fundamentus!A:U,16,FALSE)&gt;0.1,"Oper.Eficiente","n/a"))</f>
        <v>Oper. Ineficiente</v>
      </c>
      <c r="EU98" s="34">
        <f>VLOOKUP(BP98,Fundamentus!A:U,14,FALSE)</f>
        <v>0</v>
      </c>
      <c r="EV98" s="17" t="str">
        <f>IF(VLOOKUP(BP98,Fundamentus!A:U,21,FALSE)&lt;0,"Negativo",IF(VLOOKUP(BP98,Fundamentus!A:U,21,FALSE)&lt;0.05,"Fraco",IF(VLOOKUP(BP98,Fundamentus!A:U,21,FALSE)&lt;0.1,"Bom",IF(VLOOKUP(BP98,Fundamentus!A:U,21,FALSE)&gt;0.1,"Muito bom","n/a"))))</f>
        <v>Negativo</v>
      </c>
      <c r="EX98" s="29" t="str">
        <f>IF(VLOOKUP(BP98,Fundamentus!A:U,15,FALSE)&gt;1,"Bom",IF(VLOOKUP(BP98,Fundamentus!A:U,15,FALSE)&lt;1,"Ruim","n/a"))</f>
        <v>Ruim</v>
      </c>
      <c r="EY98" s="17" t="str">
        <f>IF(VLOOKUP(BP98,Fundamentus!A:U,20,FALSE)&lt;0.5,"Baixa",IF(VLOOKUP(BP98,Fundamentus!A:U,20,FALSE)&lt;1,"Moderada",IF(VLOOKUP(BP98,Fundamentus!A:U,20,FALSE)&lt;2,"Alerta",IF(VLOOKUP(BP98,Fundamentus!A:U,20,FALSE)&gt;2,"Alta","n/a"))))</f>
        <v>Baixa</v>
      </c>
      <c r="EZ98" s="10"/>
    </row>
    <row r="99" spans="1:156" s="2" customFormat="1" ht="11.25" x14ac:dyDescent="0.2">
      <c r="A99" s="4">
        <v>7.03</v>
      </c>
      <c r="B99" s="4">
        <v>6.7</v>
      </c>
      <c r="C99" s="4">
        <v>6.9</v>
      </c>
      <c r="D99" s="4">
        <v>7.01</v>
      </c>
      <c r="E99" s="4">
        <v>6.52</v>
      </c>
      <c r="F99" s="4">
        <v>6.3</v>
      </c>
      <c r="G99" s="4">
        <v>6.13</v>
      </c>
      <c r="H99" s="4">
        <v>6.26</v>
      </c>
      <c r="I99" s="4">
        <v>6.34</v>
      </c>
      <c r="J99" s="4">
        <v>6.52</v>
      </c>
      <c r="K99" s="4">
        <v>6.54</v>
      </c>
      <c r="L99" s="4">
        <v>6.59</v>
      </c>
      <c r="M99" s="4">
        <v>6.32</v>
      </c>
      <c r="N99" s="4">
        <v>6.78</v>
      </c>
      <c r="O99" s="4">
        <v>7.1</v>
      </c>
      <c r="P99" s="4">
        <v>6.73</v>
      </c>
      <c r="Q99" s="4">
        <v>6.95</v>
      </c>
      <c r="R99" s="4">
        <v>7.35</v>
      </c>
      <c r="S99" s="4">
        <v>7.9</v>
      </c>
      <c r="T99" s="4">
        <v>8</v>
      </c>
      <c r="U99" s="4">
        <v>7.83</v>
      </c>
      <c r="V99" s="4">
        <v>8.0500000000000007</v>
      </c>
      <c r="W99" s="4">
        <v>8.0299999999999994</v>
      </c>
      <c r="X99" s="4">
        <v>8.11</v>
      </c>
      <c r="Y99" s="4">
        <v>8.75</v>
      </c>
      <c r="Z99" s="4">
        <v>8.5500000000000007</v>
      </c>
      <c r="AA99" s="4">
        <v>8.32</v>
      </c>
      <c r="AB99" s="4">
        <v>8.8800000000000008</v>
      </c>
      <c r="AC99" s="4">
        <v>9.42</v>
      </c>
      <c r="AD99" s="4">
        <v>9.56</v>
      </c>
      <c r="AE99" s="4">
        <v>8.5500000000000007</v>
      </c>
      <c r="AF99" s="4">
        <v>8.36</v>
      </c>
      <c r="AG99" s="4">
        <v>8.41</v>
      </c>
      <c r="AH99" s="4">
        <v>7.3</v>
      </c>
      <c r="AI99" s="4">
        <v>7.38</v>
      </c>
      <c r="AJ99" s="4">
        <v>7.35</v>
      </c>
      <c r="AK99" s="4">
        <v>7.31</v>
      </c>
      <c r="AL99" s="4">
        <v>7.91</v>
      </c>
      <c r="AM99" s="4">
        <v>8.32</v>
      </c>
      <c r="AN99" s="4">
        <v>8.33</v>
      </c>
      <c r="AO99" s="4">
        <v>8.0500000000000007</v>
      </c>
      <c r="AP99" s="4">
        <v>8.4600000000000009</v>
      </c>
      <c r="AQ99" s="4">
        <v>8.0500000000000007</v>
      </c>
      <c r="AR99" s="4">
        <v>7.35</v>
      </c>
      <c r="AS99" s="4">
        <v>7.22</v>
      </c>
      <c r="AT99" s="4">
        <v>7.12</v>
      </c>
      <c r="AU99" s="4">
        <v>7.125</v>
      </c>
      <c r="AV99" s="4">
        <v>6.46</v>
      </c>
      <c r="AW99" s="4">
        <v>6.02</v>
      </c>
      <c r="AX99" s="4">
        <v>6.03</v>
      </c>
      <c r="AY99" s="12">
        <v>6.56</v>
      </c>
      <c r="AZ99" s="12">
        <v>6.83</v>
      </c>
      <c r="BA99" s="12">
        <v>7.04</v>
      </c>
      <c r="BB99" s="15">
        <v>6.79</v>
      </c>
      <c r="BC99" s="52">
        <v>7.18</v>
      </c>
      <c r="BD99" s="52">
        <v>6.95</v>
      </c>
      <c r="BE99" s="52">
        <v>7.25</v>
      </c>
      <c r="BF99" s="52">
        <v>7.33</v>
      </c>
      <c r="BG99" s="67">
        <v>7.58</v>
      </c>
      <c r="BH99" s="52">
        <v>7.57</v>
      </c>
      <c r="BI99" s="52">
        <v>7.89</v>
      </c>
      <c r="BJ99" s="52">
        <v>8.15</v>
      </c>
      <c r="BK99" s="52">
        <v>8.0299999999999994</v>
      </c>
      <c r="BL99" s="52">
        <v>8.15</v>
      </c>
      <c r="BM99" s="52">
        <v>8.41</v>
      </c>
      <c r="BN99" s="52">
        <v>8.89</v>
      </c>
      <c r="BO99" s="52" cm="1">
        <f t="array" aca="1" ref="BO99" ca="1">_FV(EC99,"Preço")</f>
        <v>8.89</v>
      </c>
      <c r="BP99" s="69" t="s">
        <v>96</v>
      </c>
      <c r="BQ99" s="36" cm="1">
        <f t="array" aca="1" ref="BQ99" ca="1">_FV(EC99,"Média de volume",TRUE)</f>
        <v>10186510</v>
      </c>
      <c r="BR99" s="36">
        <v>32364800</v>
      </c>
      <c r="BS99" s="36" cm="1">
        <f t="array" aca="1" ref="BS99" ca="1">_FV(EC99,"Volume")</f>
        <v>32364800</v>
      </c>
      <c r="BT99" s="24" cm="1">
        <f t="array" aca="1" ref="BT99" ca="1">_FV(EC99,"Beta")</f>
        <v>0.79479999999999995</v>
      </c>
      <c r="BU99" s="71" cm="1">
        <f t="array" aca="1" ref="BU99" ca="1">_FV(EC99,"Variação (%)",TRUE)</f>
        <v>7.6271000000000005E-2</v>
      </c>
      <c r="BW99" s="17" cm="1">
        <f t="array" aca="1" ref="BW99" ca="1">_FV(EC99,"Baixo")</f>
        <v>8.66</v>
      </c>
      <c r="BX99" s="17" cm="1">
        <f t="array" aca="1" ref="BX99" ca="1">_FV(EC99,"Alto")</f>
        <v>8.94</v>
      </c>
      <c r="BY99" s="24"/>
      <c r="BZ99" s="63">
        <f ca="1">SQRT(22.5*(BO99/VLOOKUP(BP99,Fundamentus!A:U,3,FALSE))*(BO99/VLOOKUP(BP99,Fundamentus!A:U,4,FALSE)))</f>
        <v>9.3917766556706415</v>
      </c>
      <c r="CB99" s="62">
        <f t="shared" ca="1" si="112"/>
        <v>0</v>
      </c>
      <c r="CC99" s="8"/>
      <c r="CD99" s="61">
        <f t="shared" si="113"/>
        <v>6.02</v>
      </c>
      <c r="CE99" s="61">
        <f t="shared" si="114"/>
        <v>9.56</v>
      </c>
      <c r="CF99" s="61">
        <f t="shared" si="115"/>
        <v>7.4723484848484842</v>
      </c>
      <c r="CG99" s="14"/>
      <c r="CH99" s="35">
        <f t="shared" si="98"/>
        <v>8.4637403144776631</v>
      </c>
      <c r="CI99" s="15">
        <f t="shared" si="116"/>
        <v>9.0799999999999272</v>
      </c>
      <c r="CJ99" s="35">
        <f t="shared" si="99"/>
        <v>9.6962596855221914</v>
      </c>
      <c r="CL99" s="14"/>
      <c r="CM99" s="17">
        <f t="shared" si="100"/>
        <v>3.2133333333333312</v>
      </c>
      <c r="CN99" s="17">
        <f t="shared" si="101"/>
        <v>4.6166666666666654</v>
      </c>
      <c r="CO99" s="17">
        <f t="shared" si="102"/>
        <v>6.7533333333333321</v>
      </c>
      <c r="CP99" s="38">
        <f t="shared" si="117"/>
        <v>8.1566666666666663</v>
      </c>
      <c r="CQ99" s="17">
        <f t="shared" si="103"/>
        <v>10.293333333333333</v>
      </c>
      <c r="CR99" s="17">
        <f t="shared" si="104"/>
        <v>11.696666666666667</v>
      </c>
      <c r="CS99" s="17">
        <f t="shared" si="105"/>
        <v>13.833333333333334</v>
      </c>
      <c r="CT99" s="2" cm="1">
        <f t="array" aca="1" ref="CT99" ca="1">MAX(_xlfn._xlws.FILTER(CM99:CS99,CM99:CS99&lt;BO99))</f>
        <v>8.1566666666666663</v>
      </c>
      <c r="CU99" s="2" cm="1">
        <f t="array" aca="1" ref="CU99" ca="1">MIN(_xlfn._xlws.FILTER($CM99:$CS99,$CM99:$CS99&gt;BO99))</f>
        <v>10.293333333333333</v>
      </c>
      <c r="CV99" s="16">
        <f t="shared" ca="1" si="119"/>
        <v>0.26195341234164293</v>
      </c>
      <c r="CW99" s="20">
        <f t="shared" ca="1" si="120"/>
        <v>-0.13097670617082147</v>
      </c>
      <c r="CX99" s="20">
        <f t="shared" ca="1" si="121"/>
        <v>-8.7317804113880973E-2</v>
      </c>
      <c r="CY99" s="20">
        <f t="shared" ca="1" si="122"/>
        <v>-5.2390682468328585E-2</v>
      </c>
      <c r="CZ99" s="20">
        <f t="shared" ca="1" si="123"/>
        <v>-2.9105934704626992E-2</v>
      </c>
      <c r="DA99" s="20">
        <f t="shared" ca="1" si="124"/>
        <v>-1.5409024255390761E-2</v>
      </c>
      <c r="DB99" s="20">
        <f t="shared" ca="1" si="125"/>
        <v>-7.9379821921709975E-3</v>
      </c>
      <c r="DC99" s="20">
        <f t="shared" ca="1" si="126"/>
        <v>-4.0300524975637377E-3</v>
      </c>
      <c r="DD99" s="21">
        <f t="shared" ca="1" si="127"/>
        <v>4.0300524975637377E-3</v>
      </c>
      <c r="DE99" s="21">
        <f t="shared" ca="1" si="128"/>
        <v>7.9379821921709975E-3</v>
      </c>
      <c r="DF99" s="21">
        <f t="shared" ca="1" si="129"/>
        <v>1.5409024255390761E-2</v>
      </c>
      <c r="DG99" s="21">
        <f t="shared" ca="1" si="130"/>
        <v>2.9105934704626992E-2</v>
      </c>
      <c r="DH99" s="21">
        <f t="shared" ca="1" si="131"/>
        <v>5.2390682468328585E-2</v>
      </c>
      <c r="DI99" s="21">
        <f t="shared" ca="1" si="132"/>
        <v>8.7317804113880973E-2</v>
      </c>
      <c r="DJ99" s="21">
        <f t="shared" ca="1" si="133"/>
        <v>0.13097670617082147</v>
      </c>
      <c r="DL99" s="16" cm="1">
        <f t="array" aca="1" ref="DL99" ca="1">MAX(_xlfn._xlws.FILTER(CW99:DJ99,CW99:DJ99&lt;BU99))</f>
        <v>5.2390682468328585E-2</v>
      </c>
      <c r="DM99" s="16" cm="1">
        <f t="array" aca="1" ref="DM99" ca="1">MIN(_xlfn._xlws.FILTER(CW99:DJ99,CW99:DJ99&gt;BU99))</f>
        <v>8.7317804113880973E-2</v>
      </c>
      <c r="DN99" s="2" cm="1">
        <f t="array" aca="1" ref="DN99" ca="1">_FV(EC99,"Fechamento anterior",TRUE)</f>
        <v>8.26</v>
      </c>
      <c r="DO99" s="28">
        <f t="shared" ca="1" si="106"/>
        <v>0.68372378962955394</v>
      </c>
      <c r="DP99" s="15">
        <f t="shared" ca="1" si="134"/>
        <v>8.6927470371883935</v>
      </c>
      <c r="DQ99" s="15">
        <f t="shared" ca="1" si="135"/>
        <v>8.9812450619806565</v>
      </c>
      <c r="DR99" s="9"/>
      <c r="DS99" s="9"/>
      <c r="DT99" s="9"/>
      <c r="DU99" s="89">
        <v>1.2493492972410212E-2</v>
      </c>
      <c r="DV99" s="89">
        <f t="shared" ca="1" si="107"/>
        <v>3.4927121645552388E-2</v>
      </c>
      <c r="DW99" s="72">
        <f t="shared" ca="1" si="108"/>
        <v>-0.30831158432651096</v>
      </c>
      <c r="DX99" s="37"/>
      <c r="DY99" s="35">
        <f t="shared" si="118"/>
        <v>0.30812984276113237</v>
      </c>
      <c r="DZ99" s="56"/>
      <c r="EA99" s="56"/>
      <c r="EC99" s="2" t="e" vm="99">
        <v>#VALUE!</v>
      </c>
      <c r="EE99" s="10" cm="1">
        <f t="array" aca="1" ref="EE99" ca="1">_FV(EC99,"Ações em circulação",TRUE)</f>
        <v>1136271000</v>
      </c>
      <c r="EF99" s="18">
        <f>VLOOKUP(BP99,Fundamentus!A:U,5,FALSE)</f>
        <v>1.1040000000000001</v>
      </c>
      <c r="EG99" s="2">
        <f t="shared" ca="1" si="109"/>
        <v>9149863396.73913</v>
      </c>
      <c r="EH99" s="17">
        <v>1219676790.785326</v>
      </c>
      <c r="EI99" s="17">
        <f t="shared" ca="1" si="110"/>
        <v>1219676790.785326</v>
      </c>
      <c r="EK99" s="16">
        <f t="shared" ca="1" si="97"/>
        <v>0</v>
      </c>
      <c r="EL99" s="32" t="str">
        <f>IF(VLOOKUP(BP99,Fundamentus!A:U,3,FALSE)&lt;15,"Bom",IF(VLOOKUP(BP99,Fundamentus!A:U,3,FALSE)&gt;15,"Ruim","n/a"))</f>
        <v>Bom</v>
      </c>
      <c r="EM99" s="28" t="str">
        <f>IF(VLOOKUP(BP99,Fundamentus!A:U,4,FALSE)&lt;1,"Baixo",IF(VLOOKUP(BP99,Fundamentus!A:U,4,FALSE)&lt;1.5,"Moderado",IF(VLOOKUP(BP99,Fundamentus!A:U,4,FALSE)&gt;1.5,"Alto","n/a")))</f>
        <v>Alto</v>
      </c>
      <c r="EN99" s="17" t="str">
        <f>IF(VLOOKUP(BP99,Fundamentus!A:U,8,FALSE)&lt;0,"Risco elevado",IF(VLOOKUP(BP99,Fundamentus!A:U,8,FALSE)&lt;1,"Saudável",IF(VLOOKUP(BP99,Fundamentus!A:U,8,FALSE)&lt;3,"Estável",IF(VLOOKUP(BP99,Fundamentus!A:U,8,FALSE)&gt;3,"Alerta","n/a"))))</f>
        <v>Alerta</v>
      </c>
      <c r="EO99" s="28" t="str">
        <f t="shared" si="111"/>
        <v>Bom</v>
      </c>
      <c r="EP99" s="17" t="str">
        <f>IF(VLOOKUP(BP99,Fundamentus!A:U,12,FALSE)&lt;2,"Subvalorizada",IF(VLOOKUP(BP99,Fundamentus!A:U,12,FALSE)&lt;6,"Muita barata",IF(VLOOKUP(BP99,Fundamentus!A:U,12,FALSE)&lt;6,"Barata",IF(VLOOKUP(BP99,Fundamentus!A:U,12,FALSE)&lt;8,"Atrativa",IF(VLOOKUP(BP99,Fundamentus!A:U,12,FALSE)&gt;8,"Supervalorizada","n/a")))))</f>
        <v>Atrativa</v>
      </c>
      <c r="ER99" s="17" t="str">
        <f>IF(VLOOKUP(BP99,Fundamentus!A:U,17,FALSE)&lt;0.1,"Fraco retorno",IF(VLOOKUP(BP99,Fundamentus!A:U,17,FALSE)&gt;0.1,"Bom retorno","n/a"))</f>
        <v>Bom retorno</v>
      </c>
      <c r="ES99" s="17" t="str">
        <f>IF(VLOOKUP(BP99,Fundamentus!A:U,16,FALSE)&lt;0.1,"Ineficiente",IF(VLOOKUP(BP99,Fundamentus!A:U,16,FALSE)&gt;0.1,"Eficiente","n/a"))</f>
        <v>Eficiente</v>
      </c>
      <c r="ET99" s="33" t="str">
        <f>IF(VLOOKUP(BP99,Fundamentus!A:U,16,FALSE)&lt;0.1,"Oper. Ineficiente",IF(VLOOKUP(BP99,Fundamentus!A:U,16,FALSE)&gt;0.1,"Oper.Eficiente","n/a"))</f>
        <v>Oper.Eficiente</v>
      </c>
      <c r="EU99" s="34">
        <f>VLOOKUP(BP99,Fundamentus!A:U,14,FALSE)</f>
        <v>0.1333</v>
      </c>
      <c r="EV99" s="17" t="str">
        <f>IF(VLOOKUP(BP99,Fundamentus!A:U,21,FALSE)&lt;0,"Negativo",IF(VLOOKUP(BP99,Fundamentus!A:U,21,FALSE)&lt;0.05,"Fraco",IF(VLOOKUP(BP99,Fundamentus!A:U,21,FALSE)&lt;0.1,"Bom",IF(VLOOKUP(BP99,Fundamentus!A:U,21,FALSE)&gt;0.1,"Muito bom","n/a"))))</f>
        <v>Muito bom</v>
      </c>
      <c r="EX99" s="29" t="str">
        <f>IF(VLOOKUP(BP99,Fundamentus!A:U,15,FALSE)&gt;1,"Bom",IF(VLOOKUP(BP99,Fundamentus!A:U,15,FALSE)&lt;1,"Ruim","n/a"))</f>
        <v>Bom</v>
      </c>
      <c r="EY99" s="17" t="str">
        <f>IF(VLOOKUP(BP99,Fundamentus!A:U,20,FALSE)&lt;0.5,"Baixa",IF(VLOOKUP(BP99,Fundamentus!A:U,20,FALSE)&lt;1,"Moderada",IF(VLOOKUP(BP99,Fundamentus!A:U,20,FALSE)&lt;2,"Alerta",IF(VLOOKUP(BP99,Fundamentus!A:U,20,FALSE)&gt;2,"Alta","n/a"))))</f>
        <v>Moderada</v>
      </c>
      <c r="EZ99" s="10"/>
    </row>
    <row r="100" spans="1:156" s="2" customFormat="1" ht="11.25" x14ac:dyDescent="0.2">
      <c r="A100" s="4">
        <v>63.99</v>
      </c>
      <c r="B100" s="4">
        <v>64.510000000000005</v>
      </c>
      <c r="C100" s="4">
        <v>66.180000000000007</v>
      </c>
      <c r="D100" s="4">
        <v>64.95</v>
      </c>
      <c r="E100" s="4">
        <v>63.2</v>
      </c>
      <c r="F100" s="4">
        <v>60.41</v>
      </c>
      <c r="G100" s="4">
        <v>60.62</v>
      </c>
      <c r="H100" s="4">
        <v>60.83</v>
      </c>
      <c r="I100" s="4">
        <v>62.31</v>
      </c>
      <c r="J100" s="4">
        <v>63.6</v>
      </c>
      <c r="K100" s="4">
        <v>62.92</v>
      </c>
      <c r="L100" s="4">
        <v>61.12</v>
      </c>
      <c r="M100" s="4">
        <v>61.47</v>
      </c>
      <c r="N100" s="4">
        <v>59.41</v>
      </c>
      <c r="O100" s="4">
        <v>57.06</v>
      </c>
      <c r="P100" s="4">
        <v>56.13</v>
      </c>
      <c r="Q100" s="4">
        <v>57.4</v>
      </c>
      <c r="R100" s="4">
        <v>59.58</v>
      </c>
      <c r="S100" s="4">
        <v>56.68</v>
      </c>
      <c r="T100" s="4">
        <v>58.5</v>
      </c>
      <c r="U100" s="4">
        <v>57.35</v>
      </c>
      <c r="V100" s="4">
        <v>63.96</v>
      </c>
      <c r="W100" s="4">
        <v>62.48</v>
      </c>
      <c r="X100" s="4">
        <v>62.13</v>
      </c>
      <c r="Y100" s="4">
        <v>59.95</v>
      </c>
      <c r="Z100" s="4">
        <v>61.73</v>
      </c>
      <c r="AA100" s="4">
        <v>62.03</v>
      </c>
      <c r="AB100" s="4">
        <v>60.58</v>
      </c>
      <c r="AC100" s="4">
        <v>56.84</v>
      </c>
      <c r="AD100" s="4">
        <v>58.18</v>
      </c>
      <c r="AE100" s="4">
        <v>58.78</v>
      </c>
      <c r="AF100" s="4">
        <v>56.81</v>
      </c>
      <c r="AG100" s="4">
        <v>55.86</v>
      </c>
      <c r="AH100" s="4">
        <v>54.85</v>
      </c>
      <c r="AI100" s="4">
        <v>54.74</v>
      </c>
      <c r="AJ100" s="4">
        <v>53.24</v>
      </c>
      <c r="AK100" s="4">
        <v>51.52</v>
      </c>
      <c r="AL100" s="4">
        <v>54.49</v>
      </c>
      <c r="AM100" s="4">
        <v>53.03</v>
      </c>
      <c r="AN100" s="4">
        <v>54.17</v>
      </c>
      <c r="AO100" s="4">
        <v>54.83</v>
      </c>
      <c r="AP100" s="4">
        <v>55.67</v>
      </c>
      <c r="AQ100" s="4">
        <v>58.16</v>
      </c>
      <c r="AR100" s="4">
        <v>55.15</v>
      </c>
      <c r="AS100" s="4">
        <v>57.02</v>
      </c>
      <c r="AT100" s="4">
        <v>56.29</v>
      </c>
      <c r="AU100" s="4">
        <v>57.14</v>
      </c>
      <c r="AV100" s="4">
        <v>57.56</v>
      </c>
      <c r="AW100" s="4">
        <v>52.68</v>
      </c>
      <c r="AX100" s="4">
        <v>53.66</v>
      </c>
      <c r="AY100" s="12">
        <v>52.88</v>
      </c>
      <c r="AZ100" s="12">
        <v>53.85</v>
      </c>
      <c r="BA100" s="12">
        <v>52.86</v>
      </c>
      <c r="BB100" s="15">
        <v>52.74</v>
      </c>
      <c r="BC100" s="52">
        <v>55.45</v>
      </c>
      <c r="BD100" s="52">
        <v>54.32</v>
      </c>
      <c r="BE100" s="52">
        <v>52.1</v>
      </c>
      <c r="BF100" s="52">
        <v>52.98</v>
      </c>
      <c r="BG100" s="67">
        <v>52.13</v>
      </c>
      <c r="BH100" s="52">
        <v>49.92</v>
      </c>
      <c r="BI100" s="52">
        <v>53</v>
      </c>
      <c r="BJ100" s="52">
        <v>55.2</v>
      </c>
      <c r="BK100" s="52">
        <v>56</v>
      </c>
      <c r="BL100" s="52">
        <v>54.56</v>
      </c>
      <c r="BM100" s="52">
        <v>55.7</v>
      </c>
      <c r="BN100" s="52">
        <v>53.75</v>
      </c>
      <c r="BO100" s="52" cm="1">
        <f t="array" aca="1" ref="BO100" ca="1">_FV(EC100,"Preço")</f>
        <v>53.75</v>
      </c>
      <c r="BP100" s="69" t="s">
        <v>97</v>
      </c>
      <c r="BQ100" s="36" cm="1">
        <f t="array" aca="1" ref="BQ100" ca="1">_FV(EC100,"Média de volume",TRUE)</f>
        <v>27309280</v>
      </c>
      <c r="BR100" s="36">
        <v>40467200</v>
      </c>
      <c r="BS100" s="36" cm="1">
        <f t="array" aca="1" ref="BS100" ca="1">_FV(EC100,"Volume")</f>
        <v>40467200</v>
      </c>
      <c r="BT100" s="24" cm="1">
        <f t="array" aca="1" ref="BT100" ca="1">_FV(EC100,"Beta")</f>
        <v>0.77749999999999997</v>
      </c>
      <c r="BU100" s="71" cm="1">
        <f t="array" aca="1" ref="BU100" ca="1">_FV(EC100,"Variação (%)",TRUE)</f>
        <v>5.4250000000000001E-3</v>
      </c>
      <c r="BW100" s="17" cm="1">
        <f t="array" aca="1" ref="BW100" ca="1">_FV(EC100,"Baixo")</f>
        <v>53.57</v>
      </c>
      <c r="BX100" s="17" cm="1">
        <f t="array" aca="1" ref="BX100" ca="1">_FV(EC100,"Alto")</f>
        <v>54.9</v>
      </c>
      <c r="BY100" s="24"/>
      <c r="BZ100" s="63">
        <f ca="1">SQRT(22.5*(BO100/VLOOKUP(BP100,Fundamentus!A:U,3,FALSE))*(BO100/VLOOKUP(BP100,Fundamentus!A:U,4,FALSE)))</f>
        <v>78.011693196355623</v>
      </c>
      <c r="CB100" s="62">
        <f t="shared" ca="1" si="112"/>
        <v>0</v>
      </c>
      <c r="CC100" s="8"/>
      <c r="CD100" s="61">
        <f t="shared" si="113"/>
        <v>49.92</v>
      </c>
      <c r="CE100" s="61">
        <f t="shared" si="114"/>
        <v>66.180000000000007</v>
      </c>
      <c r="CF100" s="61">
        <f t="shared" si="115"/>
        <v>57.41196969696967</v>
      </c>
      <c r="CG100" s="14"/>
      <c r="CH100" s="35">
        <f t="shared" si="98"/>
        <v>51.980795256923848</v>
      </c>
      <c r="CI100" s="15">
        <f t="shared" si="116"/>
        <v>53.599999999999909</v>
      </c>
      <c r="CJ100" s="35">
        <f t="shared" si="99"/>
        <v>55.21920474307597</v>
      </c>
      <c r="CL100" s="14"/>
      <c r="CM100" s="17">
        <f t="shared" si="100"/>
        <v>30.793333333333337</v>
      </c>
      <c r="CN100" s="17">
        <f t="shared" si="101"/>
        <v>40.356666666666669</v>
      </c>
      <c r="CO100" s="17">
        <f t="shared" si="102"/>
        <v>47.053333333333342</v>
      </c>
      <c r="CP100" s="38">
        <f t="shared" si="117"/>
        <v>56.616666666666674</v>
      </c>
      <c r="CQ100" s="17">
        <f t="shared" si="103"/>
        <v>63.313333333333347</v>
      </c>
      <c r="CR100" s="17">
        <f t="shared" si="104"/>
        <v>72.876666666666679</v>
      </c>
      <c r="CS100" s="17">
        <f t="shared" si="105"/>
        <v>79.573333333333352</v>
      </c>
      <c r="CT100" s="2" cm="1">
        <f t="array" aca="1" ref="CT100" ca="1">MAX(_xlfn._xlws.FILTER(CM100:CS100,CM100:CS100&lt;BO100))</f>
        <v>47.053333333333342</v>
      </c>
      <c r="CU100" s="2" cm="1">
        <f t="array" aca="1" ref="CU100" ca="1">MIN(_xlfn._xlws.FILTER($CM100:$CS100,$CM100:$CS100&gt;BO100))</f>
        <v>56.616666666666674</v>
      </c>
      <c r="CV100" s="16">
        <f t="shared" ca="1" si="119"/>
        <v>0.20324454519693957</v>
      </c>
      <c r="CW100" s="20">
        <f t="shared" ca="1" si="120"/>
        <v>-0.10162227259846979</v>
      </c>
      <c r="CX100" s="20">
        <f t="shared" ca="1" si="121"/>
        <v>-6.7748181732313187E-2</v>
      </c>
      <c r="CY100" s="20">
        <f t="shared" ca="1" si="122"/>
        <v>-4.0648909039387913E-2</v>
      </c>
      <c r="CZ100" s="20">
        <f t="shared" ca="1" si="123"/>
        <v>-2.2582727244104397E-2</v>
      </c>
      <c r="DA100" s="20">
        <f t="shared" ca="1" si="124"/>
        <v>-1.1955561482172916E-2</v>
      </c>
      <c r="DB100" s="20">
        <f t="shared" ca="1" si="125"/>
        <v>-6.1589256120284722E-3</v>
      </c>
      <c r="DC100" s="20">
        <f t="shared" ca="1" si="126"/>
        <v>-3.1268391568759933E-3</v>
      </c>
      <c r="DD100" s="21">
        <f t="shared" ca="1" si="127"/>
        <v>3.1268391568759933E-3</v>
      </c>
      <c r="DE100" s="21">
        <f t="shared" ca="1" si="128"/>
        <v>6.1589256120284722E-3</v>
      </c>
      <c r="DF100" s="21">
        <f t="shared" ca="1" si="129"/>
        <v>1.1955561482172916E-2</v>
      </c>
      <c r="DG100" s="21">
        <f t="shared" ca="1" si="130"/>
        <v>2.2582727244104397E-2</v>
      </c>
      <c r="DH100" s="21">
        <f t="shared" ca="1" si="131"/>
        <v>4.0648909039387913E-2</v>
      </c>
      <c r="DI100" s="21">
        <f t="shared" ca="1" si="132"/>
        <v>6.7748181732313187E-2</v>
      </c>
      <c r="DJ100" s="21">
        <f t="shared" ca="1" si="133"/>
        <v>0.10162227259846979</v>
      </c>
      <c r="DL100" s="16" cm="1">
        <f t="array" aca="1" ref="DL100" ca="1">MAX(_xlfn._xlws.FILTER(CW100:DJ100,CW100:DJ100&lt;BU100))</f>
        <v>3.1268391568759933E-3</v>
      </c>
      <c r="DM100" s="16" cm="1">
        <f t="array" aca="1" ref="DM100" ca="1">MIN(_xlfn._xlws.FILTER(CW100:DJ100,CW100:DJ100&gt;BU100))</f>
        <v>6.1589256120284722E-3</v>
      </c>
      <c r="DN100" s="2" cm="1">
        <f t="array" aca="1" ref="DN100" ca="1">_FV(EC100,"Fechamento anterior",TRUE)</f>
        <v>53.46</v>
      </c>
      <c r="DO100" s="28">
        <f t="shared" ca="1" si="106"/>
        <v>0.75782053474991729</v>
      </c>
      <c r="DP100" s="15">
        <f t="shared" ca="1" si="134"/>
        <v>53.627160821326591</v>
      </c>
      <c r="DQ100" s="15">
        <f t="shared" ca="1" si="135"/>
        <v>53.789256163219044</v>
      </c>
      <c r="DR100" s="9"/>
      <c r="DS100" s="9"/>
      <c r="DT100" s="9"/>
      <c r="DU100" s="89">
        <v>1.0209957821668142E-2</v>
      </c>
      <c r="DV100" s="89">
        <f t="shared" ca="1" si="107"/>
        <v>3.0320864551524789E-3</v>
      </c>
      <c r="DW100" s="72">
        <f t="shared" ca="1" si="108"/>
        <v>9.2638068558970874E-2</v>
      </c>
      <c r="DX100" s="37"/>
      <c r="DY100" s="35">
        <f t="shared" si="118"/>
        <v>0.80960237153802883</v>
      </c>
      <c r="DZ100" s="56"/>
      <c r="EA100" s="56"/>
      <c r="EC100" s="2" t="e" vm="100">
        <v>#VALUE!</v>
      </c>
      <c r="EE100" s="10" cm="1">
        <f t="array" aca="1" ref="EE100" ca="1">_FV(EC100,"Ações em circulação",TRUE)</f>
        <v>4539008000</v>
      </c>
      <c r="EF100" s="18">
        <f>VLOOKUP(BP100,Fundamentus!A:U,5,FALSE)</f>
        <v>1.232</v>
      </c>
      <c r="EG100" s="2">
        <f t="shared" ca="1" si="109"/>
        <v>198028961038.96103</v>
      </c>
      <c r="EH100" s="17">
        <v>28337944324.675323</v>
      </c>
      <c r="EI100" s="17">
        <f t="shared" ca="1" si="110"/>
        <v>28337944324.675323</v>
      </c>
      <c r="EK100" s="16">
        <f t="shared" ca="1" si="97"/>
        <v>0</v>
      </c>
      <c r="EL100" s="32" t="str">
        <f>IF(VLOOKUP(BP100,Fundamentus!A:U,3,FALSE)&lt;15,"Bom",IF(VLOOKUP(BP100,Fundamentus!A:U,3,FALSE)&gt;15,"Ruim","n/a"))</f>
        <v>Bom</v>
      </c>
      <c r="EM100" s="28" t="str">
        <f>IF(VLOOKUP(BP100,Fundamentus!A:U,4,FALSE)&lt;1,"Baixo",IF(VLOOKUP(BP100,Fundamentus!A:U,4,FALSE)&lt;1.5,"Moderado",IF(VLOOKUP(BP100,Fundamentus!A:U,4,FALSE)&gt;1.5,"Alto","n/a")))</f>
        <v>Moderado</v>
      </c>
      <c r="EN100" s="17" t="str">
        <f>IF(VLOOKUP(BP100,Fundamentus!A:U,8,FALSE)&lt;0,"Risco elevado",IF(VLOOKUP(BP100,Fundamentus!A:U,8,FALSE)&lt;1,"Saudável",IF(VLOOKUP(BP100,Fundamentus!A:U,8,FALSE)&lt;3,"Estável",IF(VLOOKUP(BP100,Fundamentus!A:U,8,FALSE)&gt;3,"Alerta","n/a"))))</f>
        <v>Alerta</v>
      </c>
      <c r="EO100" s="28" t="str">
        <f t="shared" si="111"/>
        <v>Bom</v>
      </c>
      <c r="EP100" s="17" t="str">
        <f>IF(VLOOKUP(BP100,Fundamentus!A:U,12,FALSE)&lt;2,"Subvalorizada",IF(VLOOKUP(BP100,Fundamentus!A:U,12,FALSE)&lt;6,"Muita barata",IF(VLOOKUP(BP100,Fundamentus!A:U,12,FALSE)&lt;6,"Barata",IF(VLOOKUP(BP100,Fundamentus!A:U,12,FALSE)&lt;8,"Atrativa",IF(VLOOKUP(BP100,Fundamentus!A:U,12,FALSE)&gt;8,"Supervalorizada","n/a")))))</f>
        <v>Muita barata</v>
      </c>
      <c r="ER100" s="17" t="str">
        <f>IF(VLOOKUP(BP100,Fundamentus!A:U,17,FALSE)&lt;0.1,"Fraco retorno",IF(VLOOKUP(BP100,Fundamentus!A:U,17,FALSE)&gt;0.1,"Bom retorno","n/a"))</f>
        <v>Bom retorno</v>
      </c>
      <c r="ES100" s="17" t="str">
        <f>IF(VLOOKUP(BP100,Fundamentus!A:U,16,FALSE)&lt;0.1,"Ineficiente",IF(VLOOKUP(BP100,Fundamentus!A:U,16,FALSE)&gt;0.1,"Eficiente","n/a"))</f>
        <v>Eficiente</v>
      </c>
      <c r="ET100" s="33" t="str">
        <f>IF(VLOOKUP(BP100,Fundamentus!A:U,16,FALSE)&lt;0.1,"Oper. Ineficiente",IF(VLOOKUP(BP100,Fundamentus!A:U,16,FALSE)&gt;0.1,"Oper.Eficiente","n/a"))</f>
        <v>Oper.Eficiente</v>
      </c>
      <c r="EU100" s="34">
        <f>VLOOKUP(BP100,Fundamentus!A:U,14,FALSE)</f>
        <v>0.1431</v>
      </c>
      <c r="EV100" s="17" t="str">
        <f>IF(VLOOKUP(BP100,Fundamentus!A:U,21,FALSE)&lt;0,"Negativo",IF(VLOOKUP(BP100,Fundamentus!A:U,21,FALSE)&lt;0.05,"Fraco",IF(VLOOKUP(BP100,Fundamentus!A:U,21,FALSE)&lt;0.1,"Bom",IF(VLOOKUP(BP100,Fundamentus!A:U,21,FALSE)&gt;0.1,"Muito bom","n/a"))))</f>
        <v>Negativo</v>
      </c>
      <c r="EX100" s="29" t="str">
        <f>IF(VLOOKUP(BP100,Fundamentus!A:U,15,FALSE)&gt;1,"Bom",IF(VLOOKUP(BP100,Fundamentus!A:U,15,FALSE)&lt;1,"Ruim","n/a"))</f>
        <v>Bom</v>
      </c>
      <c r="EY100" s="17" t="str">
        <f>IF(VLOOKUP(BP100,Fundamentus!A:U,20,FALSE)&lt;0.5,"Baixa",IF(VLOOKUP(BP100,Fundamentus!A:U,20,FALSE)&lt;1,"Moderada",IF(VLOOKUP(BP100,Fundamentus!A:U,20,FALSE)&lt;2,"Alerta",IF(VLOOKUP(BP100,Fundamentus!A:U,20,FALSE)&gt;2,"Alta","n/a"))))</f>
        <v>Baixa</v>
      </c>
      <c r="EZ100" s="10"/>
    </row>
    <row r="101" spans="1:156" s="2" customFormat="1" ht="11.25" x14ac:dyDescent="0.2">
      <c r="A101" s="4">
        <v>26.24</v>
      </c>
      <c r="B101" s="4">
        <v>26.17</v>
      </c>
      <c r="C101" s="4">
        <v>27.6</v>
      </c>
      <c r="D101" s="4">
        <v>25.92</v>
      </c>
      <c r="E101" s="4">
        <v>24.98</v>
      </c>
      <c r="F101" s="4">
        <v>25.32</v>
      </c>
      <c r="G101" s="4">
        <v>25.7</v>
      </c>
      <c r="H101" s="4">
        <v>25.8</v>
      </c>
      <c r="I101" s="4">
        <v>25.54</v>
      </c>
      <c r="J101" s="4">
        <v>25.29</v>
      </c>
      <c r="K101" s="4">
        <v>25.76</v>
      </c>
      <c r="L101" s="4">
        <v>25.77</v>
      </c>
      <c r="M101" s="4">
        <v>27</v>
      </c>
      <c r="N101" s="4">
        <v>28.4</v>
      </c>
      <c r="O101" s="4">
        <v>29.34</v>
      </c>
      <c r="P101" s="4">
        <v>29.5</v>
      </c>
      <c r="Q101" s="4">
        <v>27.86</v>
      </c>
      <c r="R101" s="4">
        <v>27.56</v>
      </c>
      <c r="S101" s="4">
        <v>27.44</v>
      </c>
      <c r="T101" s="4">
        <v>26.7</v>
      </c>
      <c r="U101" s="4">
        <v>26.97</v>
      </c>
      <c r="V101" s="4">
        <v>25.7</v>
      </c>
      <c r="W101" s="4">
        <v>25.38</v>
      </c>
      <c r="X101" s="4">
        <v>24.38</v>
      </c>
      <c r="Y101" s="4">
        <v>25.14</v>
      </c>
      <c r="Z101" s="4">
        <v>24.44</v>
      </c>
      <c r="AA101" s="4">
        <v>24.3</v>
      </c>
      <c r="AB101" s="4">
        <v>25.45</v>
      </c>
      <c r="AC101" s="4">
        <v>25.43</v>
      </c>
      <c r="AD101" s="4">
        <v>26.02</v>
      </c>
      <c r="AE101" s="4">
        <v>24.08</v>
      </c>
      <c r="AF101" s="4">
        <v>24.14</v>
      </c>
      <c r="AG101" s="4">
        <v>23.6</v>
      </c>
      <c r="AH101" s="4">
        <v>22.62</v>
      </c>
      <c r="AI101" s="4">
        <v>22</v>
      </c>
      <c r="AJ101" s="4">
        <v>20.8</v>
      </c>
      <c r="AK101" s="4">
        <v>20.97</v>
      </c>
      <c r="AL101" s="4">
        <v>21.23</v>
      </c>
      <c r="AM101" s="4">
        <v>20.78</v>
      </c>
      <c r="AN101" s="4">
        <v>21.09</v>
      </c>
      <c r="AO101" s="4">
        <v>20.12</v>
      </c>
      <c r="AP101" s="4">
        <v>20</v>
      </c>
      <c r="AQ101" s="4">
        <v>19.059999999999999</v>
      </c>
      <c r="AR101" s="4">
        <v>17.38</v>
      </c>
      <c r="AS101" s="4">
        <v>17.809999999999999</v>
      </c>
      <c r="AT101" s="4">
        <v>19.18</v>
      </c>
      <c r="AU101" s="4">
        <v>19.66</v>
      </c>
      <c r="AV101" s="4">
        <v>19.34</v>
      </c>
      <c r="AW101" s="4">
        <v>19.53</v>
      </c>
      <c r="AX101" s="4">
        <v>21.38</v>
      </c>
      <c r="AY101" s="12">
        <v>20.69</v>
      </c>
      <c r="AZ101" s="12">
        <v>20.100000000000001</v>
      </c>
      <c r="BA101" s="12">
        <v>19.84</v>
      </c>
      <c r="BB101" s="15">
        <v>16.309999999999999</v>
      </c>
      <c r="BC101" s="52">
        <v>15.3</v>
      </c>
      <c r="BD101" s="52">
        <v>14.67</v>
      </c>
      <c r="BE101" s="52">
        <v>14.85</v>
      </c>
      <c r="BF101" s="52">
        <v>15.15</v>
      </c>
      <c r="BG101" s="67">
        <v>13.88</v>
      </c>
      <c r="BH101" s="52">
        <v>14</v>
      </c>
      <c r="BI101" s="52">
        <v>14.99</v>
      </c>
      <c r="BJ101" s="52">
        <v>15.3</v>
      </c>
      <c r="BK101" s="52">
        <v>13.76</v>
      </c>
      <c r="BL101" s="52">
        <v>13.53</v>
      </c>
      <c r="BM101" s="52">
        <v>14.04</v>
      </c>
      <c r="BN101" s="52">
        <v>13.7</v>
      </c>
      <c r="BO101" s="52" cm="1">
        <f t="array" aca="1" ref="BO101" ca="1">_FV(EC101,"Preço")</f>
        <v>13.7</v>
      </c>
      <c r="BP101" s="69" t="s">
        <v>98</v>
      </c>
      <c r="BQ101" s="36" cm="1">
        <f t="array" aca="1" ref="BQ101" ca="1">_FV(EC101,"Média de volume",TRUE)</f>
        <v>6630400</v>
      </c>
      <c r="BR101" s="36">
        <v>6590700</v>
      </c>
      <c r="BS101" s="36" cm="1">
        <f t="array" aca="1" ref="BS101" ca="1">_FV(EC101,"Volume")</f>
        <v>6590700</v>
      </c>
      <c r="BT101" s="24" cm="1">
        <f t="array" aca="1" ref="BT101" ca="1">_FV(EC101,"Beta")</f>
        <v>0.77</v>
      </c>
      <c r="BU101" s="71" cm="1">
        <f t="array" aca="1" ref="BU101" ca="1">_FV(EC101,"Variação (%)",TRUE)</f>
        <v>1.7075E-2</v>
      </c>
      <c r="BW101" s="17" cm="1">
        <f t="array" aca="1" ref="BW101" ca="1">_FV(EC101,"Baixo")</f>
        <v>13.52</v>
      </c>
      <c r="BX101" s="17" cm="1">
        <f t="array" aca="1" ref="BX101" ca="1">_FV(EC101,"Alto")</f>
        <v>13.75</v>
      </c>
      <c r="BY101" s="24"/>
      <c r="BZ101" s="63">
        <f ca="1">SQRT(22.5*(BO101/VLOOKUP(BP101,Fundamentus!A:U,3,FALSE))*(BO101/VLOOKUP(BP101,Fundamentus!A:U,4,FALSE)))</f>
        <v>7.3758320581968677</v>
      </c>
      <c r="CB101" s="62">
        <f t="shared" ca="1" si="112"/>
        <v>0</v>
      </c>
      <c r="CC101" s="8"/>
      <c r="CD101" s="61">
        <f t="shared" si="113"/>
        <v>13.53</v>
      </c>
      <c r="CE101" s="61">
        <f t="shared" si="114"/>
        <v>29.5</v>
      </c>
      <c r="CF101" s="61">
        <f t="shared" si="115"/>
        <v>21.99969696969697</v>
      </c>
      <c r="CG101" s="14"/>
      <c r="CH101" s="35">
        <f t="shared" si="98"/>
        <v>12.563028582935392</v>
      </c>
      <c r="CI101" s="15">
        <f t="shared" si="116"/>
        <v>13.840000000000003</v>
      </c>
      <c r="CJ101" s="35">
        <f t="shared" si="99"/>
        <v>15.116971417064615</v>
      </c>
      <c r="CL101" s="14"/>
      <c r="CM101" s="17">
        <f t="shared" si="100"/>
        <v>-7.65</v>
      </c>
      <c r="CN101" s="17">
        <f t="shared" si="101"/>
        <v>2.9399999999999995</v>
      </c>
      <c r="CO101" s="17">
        <f t="shared" si="102"/>
        <v>8.32</v>
      </c>
      <c r="CP101" s="38">
        <f t="shared" si="117"/>
        <v>18.91</v>
      </c>
      <c r="CQ101" s="17">
        <f t="shared" si="103"/>
        <v>24.29</v>
      </c>
      <c r="CR101" s="17">
        <f t="shared" si="104"/>
        <v>34.880000000000003</v>
      </c>
      <c r="CS101" s="17">
        <f t="shared" si="105"/>
        <v>40.260000000000005</v>
      </c>
      <c r="CT101" s="2" cm="1">
        <f t="array" aca="1" ref="CT101" ca="1">MAX(_xlfn._xlws.FILTER(CM101:CS101,CM101:CS101&lt;BO101))</f>
        <v>8.32</v>
      </c>
      <c r="CU101" s="2" cm="1">
        <f t="array" aca="1" ref="CU101" ca="1">MIN(_xlfn._xlws.FILTER($CM101:$CS101,$CM101:$CS101&gt;BO101))</f>
        <v>18.91</v>
      </c>
      <c r="CV101" s="16">
        <f t="shared" ca="1" si="119"/>
        <v>1.2728365384615383</v>
      </c>
      <c r="CW101" s="20">
        <f t="shared" ca="1" si="120"/>
        <v>-0.63641826923076916</v>
      </c>
      <c r="CX101" s="20">
        <f t="shared" ca="1" si="121"/>
        <v>-0.42427884615384609</v>
      </c>
      <c r="CY101" s="20">
        <f t="shared" ca="1" si="122"/>
        <v>-0.25456730769230768</v>
      </c>
      <c r="CZ101" s="20">
        <f t="shared" ca="1" si="123"/>
        <v>-0.14142628205128205</v>
      </c>
      <c r="DA101" s="20">
        <f t="shared" ca="1" si="124"/>
        <v>-7.4872737556561084E-2</v>
      </c>
      <c r="DB101" s="20">
        <f t="shared" ca="1" si="125"/>
        <v>-3.8570804195804193E-2</v>
      </c>
      <c r="DC101" s="20">
        <f t="shared" ca="1" si="126"/>
        <v>-1.9582100591715973E-2</v>
      </c>
      <c r="DD101" s="21">
        <f t="shared" ca="1" si="127"/>
        <v>1.9582100591715973E-2</v>
      </c>
      <c r="DE101" s="21">
        <f t="shared" ca="1" si="128"/>
        <v>3.8570804195804193E-2</v>
      </c>
      <c r="DF101" s="21">
        <f t="shared" ca="1" si="129"/>
        <v>7.4872737556561084E-2</v>
      </c>
      <c r="DG101" s="21">
        <f t="shared" ca="1" si="130"/>
        <v>0.14142628205128205</v>
      </c>
      <c r="DH101" s="21">
        <f t="shared" ca="1" si="131"/>
        <v>0.25456730769230768</v>
      </c>
      <c r="DI101" s="21">
        <f t="shared" ca="1" si="132"/>
        <v>0.42427884615384609</v>
      </c>
      <c r="DJ101" s="21">
        <f t="shared" ca="1" si="133"/>
        <v>0.63641826923076916</v>
      </c>
      <c r="DL101" s="16" cm="1">
        <f t="array" aca="1" ref="DL101" ca="1">MAX(_xlfn._xlws.FILTER(CW101:DJ101,CW101:DJ101&lt;BU101))</f>
        <v>-1.9582100591715973E-2</v>
      </c>
      <c r="DM101" s="16" cm="1">
        <f t="array" aca="1" ref="DM101" ca="1">MIN(_xlfn._xlws.FILTER(CW101:DJ101,CW101:DJ101&gt;BU101))</f>
        <v>1.9582100591715973E-2</v>
      </c>
      <c r="DN101" s="2" cm="1">
        <f t="array" aca="1" ref="DN101" ca="1">_FV(EC101,"Fechamento anterior",TRUE)</f>
        <v>13.47</v>
      </c>
      <c r="DO101" s="28">
        <f t="shared" ca="1" si="106"/>
        <v>0.93598441751088046</v>
      </c>
      <c r="DP101" s="15">
        <f t="shared" ca="1" si="134"/>
        <v>13.206229105029587</v>
      </c>
      <c r="DQ101" s="15">
        <f t="shared" ca="1" si="135"/>
        <v>13.733770894970414</v>
      </c>
      <c r="DR101" s="9"/>
      <c r="DS101" s="9"/>
      <c r="DT101" s="9"/>
      <c r="DU101" s="89">
        <v>3.991751546585013E-2</v>
      </c>
      <c r="DV101" s="89">
        <f t="shared" ca="1" si="107"/>
        <v>3.9164201183431946E-2</v>
      </c>
      <c r="DW101" s="72">
        <f t="shared" ca="1" si="108"/>
        <v>-0.10963440381604128</v>
      </c>
      <c r="DX101" s="37"/>
      <c r="DY101" s="35">
        <f t="shared" si="118"/>
        <v>0.63848570853230591</v>
      </c>
      <c r="DZ101" s="56"/>
      <c r="EA101" s="56"/>
      <c r="EC101" s="2" t="e" vm="101">
        <v>#VALUE!</v>
      </c>
      <c r="EE101" s="10" cm="1">
        <f t="array" aca="1" ref="EE101" ca="1">_FV(EC101,"Ações em circulação",TRUE)</f>
        <v>1718007000</v>
      </c>
      <c r="EF101" s="18">
        <f>VLOOKUP(BP101,Fundamentus!A:U,5,FALSE)</f>
        <v>0.61099999999999999</v>
      </c>
      <c r="EG101" s="2">
        <f t="shared" ca="1" si="109"/>
        <v>38521597217.675941</v>
      </c>
      <c r="EH101" s="17">
        <v>1144091437.3649755</v>
      </c>
      <c r="EI101" s="17">
        <f t="shared" ca="1" si="110"/>
        <v>1144091437.3649755</v>
      </c>
      <c r="EK101" s="16">
        <f t="shared" ca="1" si="97"/>
        <v>0</v>
      </c>
      <c r="EL101" s="32" t="str">
        <f>IF(VLOOKUP(BP101,Fundamentus!A:U,3,FALSE)&lt;15,"Bom",IF(VLOOKUP(BP101,Fundamentus!A:U,3,FALSE)&gt;15,"Ruim","n/a"))</f>
        <v>Ruim</v>
      </c>
      <c r="EM101" s="28" t="str">
        <f>IF(VLOOKUP(BP101,Fundamentus!A:U,4,FALSE)&lt;1,"Baixo",IF(VLOOKUP(BP101,Fundamentus!A:U,4,FALSE)&lt;1.5,"Moderado",IF(VLOOKUP(BP101,Fundamentus!A:U,4,FALSE)&gt;1.5,"Alto","n/a")))</f>
        <v>Alto</v>
      </c>
      <c r="EN101" s="17" t="str">
        <f>IF(VLOOKUP(BP101,Fundamentus!A:U,8,FALSE)&lt;0,"Risco elevado",IF(VLOOKUP(BP101,Fundamentus!A:U,8,FALSE)&lt;1,"Saudável",IF(VLOOKUP(BP101,Fundamentus!A:U,8,FALSE)&lt;3,"Estável",IF(VLOOKUP(BP101,Fundamentus!A:U,8,FALSE)&gt;3,"Alerta","n/a"))))</f>
        <v>Alerta</v>
      </c>
      <c r="EO101" s="28" t="str">
        <f t="shared" si="111"/>
        <v>Ruim</v>
      </c>
      <c r="EP101" s="17" t="str">
        <f>IF(VLOOKUP(BP101,Fundamentus!A:U,12,FALSE)&lt;2,"Subvalorizada",IF(VLOOKUP(BP101,Fundamentus!A:U,12,FALSE)&lt;6,"Muita barata",IF(VLOOKUP(BP101,Fundamentus!A:U,12,FALSE)&lt;6,"Barata",IF(VLOOKUP(BP101,Fundamentus!A:U,12,FALSE)&lt;8,"Atrativa",IF(VLOOKUP(BP101,Fundamentus!A:U,12,FALSE)&gt;8,"Supervalorizada","n/a")))))</f>
        <v>Atrativa</v>
      </c>
      <c r="ER101" s="17" t="str">
        <f>IF(VLOOKUP(BP101,Fundamentus!A:U,17,FALSE)&lt;0.1,"Fraco retorno",IF(VLOOKUP(BP101,Fundamentus!A:U,17,FALSE)&gt;0.1,"Bom retorno","n/a"))</f>
        <v>Bom retorno</v>
      </c>
      <c r="ES101" s="17" t="str">
        <f>IF(VLOOKUP(BP101,Fundamentus!A:U,16,FALSE)&lt;0.1,"Ineficiente",IF(VLOOKUP(BP101,Fundamentus!A:U,16,FALSE)&gt;0.1,"Eficiente","n/a"))</f>
        <v>Eficiente</v>
      </c>
      <c r="ET101" s="33" t="str">
        <f>IF(VLOOKUP(BP101,Fundamentus!A:U,16,FALSE)&lt;0.1,"Oper. Ineficiente",IF(VLOOKUP(BP101,Fundamentus!A:U,16,FALSE)&gt;0.1,"Oper.Eficiente","n/a"))</f>
        <v>Oper.Eficiente</v>
      </c>
      <c r="EU101" s="34">
        <f>VLOOKUP(BP101,Fundamentus!A:U,14,FALSE)</f>
        <v>2.9700000000000001E-2</v>
      </c>
      <c r="EV101" s="17" t="str">
        <f>IF(VLOOKUP(BP101,Fundamentus!A:U,21,FALSE)&lt;0,"Negativo",IF(VLOOKUP(BP101,Fundamentus!A:U,21,FALSE)&lt;0.05,"Fraco",IF(VLOOKUP(BP101,Fundamentus!A:U,21,FALSE)&lt;0.1,"Bom",IF(VLOOKUP(BP101,Fundamentus!A:U,21,FALSE)&gt;0.1,"Muito bom","n/a"))))</f>
        <v>Muito bom</v>
      </c>
      <c r="EX101" s="29" t="str">
        <f>IF(VLOOKUP(BP101,Fundamentus!A:U,15,FALSE)&gt;1,"Bom",IF(VLOOKUP(BP101,Fundamentus!A:U,15,FALSE)&lt;1,"Ruim","n/a"))</f>
        <v>Bom</v>
      </c>
      <c r="EY101" s="17" t="str">
        <f>IF(VLOOKUP(BP101,Fundamentus!A:U,20,FALSE)&lt;0.5,"Baixa",IF(VLOOKUP(BP101,Fundamentus!A:U,20,FALSE)&lt;1,"Moderada",IF(VLOOKUP(BP101,Fundamentus!A:U,20,FALSE)&lt;2,"Alerta",IF(VLOOKUP(BP101,Fundamentus!A:U,20,FALSE)&gt;2,"Alta","n/a"))))</f>
        <v>Baixa</v>
      </c>
      <c r="EZ101" s="10"/>
    </row>
    <row r="102" spans="1:156" s="2" customFormat="1" ht="11.25" x14ac:dyDescent="0.2">
      <c r="A102" s="4">
        <v>19.100000000000001</v>
      </c>
      <c r="B102" s="4">
        <v>18.66</v>
      </c>
      <c r="C102" s="4">
        <v>19.07</v>
      </c>
      <c r="D102" s="4">
        <v>18.7</v>
      </c>
      <c r="E102" s="4">
        <v>18.54</v>
      </c>
      <c r="F102" s="4">
        <v>18.03</v>
      </c>
      <c r="G102" s="4">
        <v>17.61</v>
      </c>
      <c r="H102" s="4">
        <v>17.239999999999998</v>
      </c>
      <c r="I102" s="4">
        <v>17.239999999999998</v>
      </c>
      <c r="J102" s="4">
        <v>17.190000000000001</v>
      </c>
      <c r="K102" s="4">
        <v>17.61</v>
      </c>
      <c r="L102" s="4">
        <v>16.95</v>
      </c>
      <c r="M102" s="4">
        <v>17.239999999999998</v>
      </c>
      <c r="N102" s="4">
        <v>18.02</v>
      </c>
      <c r="O102" s="4">
        <v>18.670000000000002</v>
      </c>
      <c r="P102" s="4">
        <v>17.559999999999999</v>
      </c>
      <c r="Q102" s="4">
        <v>17.48</v>
      </c>
      <c r="R102" s="4">
        <v>18.05</v>
      </c>
      <c r="S102" s="4">
        <v>18.11</v>
      </c>
      <c r="T102" s="4">
        <v>18.559999999999999</v>
      </c>
      <c r="U102" s="4">
        <v>18.579999999999998</v>
      </c>
      <c r="V102" s="4">
        <v>18.559999999999999</v>
      </c>
      <c r="W102" s="4">
        <v>18.32</v>
      </c>
      <c r="X102" s="4">
        <v>17.88</v>
      </c>
      <c r="Y102" s="4">
        <v>17.89</v>
      </c>
      <c r="Z102" s="4">
        <v>17.440000000000001</v>
      </c>
      <c r="AA102" s="4">
        <v>16.739999999999998</v>
      </c>
      <c r="AB102" s="4">
        <v>16.71</v>
      </c>
      <c r="AC102" s="4">
        <v>17.71</v>
      </c>
      <c r="AD102" s="4">
        <v>17.440000000000001</v>
      </c>
      <c r="AE102" s="4">
        <v>16.2</v>
      </c>
      <c r="AF102" s="4">
        <v>16</v>
      </c>
      <c r="AG102" s="4">
        <v>15.07</v>
      </c>
      <c r="AH102" s="4">
        <v>14.15</v>
      </c>
      <c r="AI102" s="4">
        <v>14.18</v>
      </c>
      <c r="AJ102" s="4">
        <v>14.03</v>
      </c>
      <c r="AK102" s="4">
        <v>14.17</v>
      </c>
      <c r="AL102" s="4">
        <v>13.84</v>
      </c>
      <c r="AM102" s="4">
        <v>14.26</v>
      </c>
      <c r="AN102" s="4">
        <v>14.99</v>
      </c>
      <c r="AO102" s="4">
        <v>14.35</v>
      </c>
      <c r="AP102" s="4">
        <v>15.25</v>
      </c>
      <c r="AQ102" s="4">
        <v>15.04</v>
      </c>
      <c r="AR102" s="4">
        <v>13.45</v>
      </c>
      <c r="AS102" s="4">
        <v>13.61</v>
      </c>
      <c r="AT102" s="4">
        <v>14.39</v>
      </c>
      <c r="AU102" s="4">
        <v>14.015000000000001</v>
      </c>
      <c r="AV102" s="4">
        <v>13.81</v>
      </c>
      <c r="AW102" s="4">
        <v>13.1</v>
      </c>
      <c r="AX102" s="4">
        <v>13.19</v>
      </c>
      <c r="AY102" s="12">
        <v>14.22</v>
      </c>
      <c r="AZ102" s="12">
        <v>15</v>
      </c>
      <c r="BA102" s="12">
        <v>15.1</v>
      </c>
      <c r="BB102" s="15">
        <v>15.15</v>
      </c>
      <c r="BC102" s="52">
        <v>15.55</v>
      </c>
      <c r="BD102" s="52">
        <v>14.83</v>
      </c>
      <c r="BE102" s="52">
        <v>15</v>
      </c>
      <c r="BF102" s="52">
        <v>15.08</v>
      </c>
      <c r="BG102" s="67">
        <v>14.85</v>
      </c>
      <c r="BH102" s="52">
        <v>15.05</v>
      </c>
      <c r="BI102" s="52">
        <v>15.17</v>
      </c>
      <c r="BJ102" s="52">
        <v>16.41</v>
      </c>
      <c r="BK102" s="52">
        <v>15.71</v>
      </c>
      <c r="BL102" s="52">
        <v>15.13</v>
      </c>
      <c r="BM102" s="52">
        <v>14.52</v>
      </c>
      <c r="BN102" s="52">
        <v>14.33</v>
      </c>
      <c r="BO102" s="52" cm="1">
        <f t="array" aca="1" ref="BO102" ca="1">_FV(EC102,"Preço")</f>
        <v>14.33</v>
      </c>
      <c r="BP102" s="69" t="s">
        <v>99</v>
      </c>
      <c r="BQ102" s="36" cm="1">
        <f t="array" aca="1" ref="BQ102" ca="1">_FV(EC102,"Média de volume",TRUE)</f>
        <v>2469560</v>
      </c>
      <c r="BR102" s="36">
        <v>2125000</v>
      </c>
      <c r="BS102" s="36" cm="1">
        <f t="array" aca="1" ref="BS102" ca="1">_FV(EC102,"Volume")</f>
        <v>2125000</v>
      </c>
      <c r="BT102" s="24" cm="1">
        <f t="array" aca="1" ref="BT102" ca="1">_FV(EC102,"Beta")</f>
        <v>1.3039000000000001</v>
      </c>
      <c r="BU102" s="71" cm="1">
        <f t="array" aca="1" ref="BU102" ca="1">_FV(EC102,"Variação (%)",TRUE)</f>
        <v>1.2005999999999999E-2</v>
      </c>
      <c r="BW102" s="17" cm="1">
        <f t="array" aca="1" ref="BW102" ca="1">_FV(EC102,"Baixo")</f>
        <v>14.17</v>
      </c>
      <c r="BX102" s="17" cm="1">
        <f t="array" aca="1" ref="BX102" ca="1">_FV(EC102,"Alto")</f>
        <v>14.65</v>
      </c>
      <c r="BY102" s="24"/>
      <c r="BZ102" s="63">
        <f ca="1">SQRT(22.5*(BO102/VLOOKUP(BP102,Fundamentus!A:U,3,FALSE))*(BO102/VLOOKUP(BP102,Fundamentus!A:U,4,FALSE)))</f>
        <v>10.604443339418442</v>
      </c>
      <c r="CB102" s="62">
        <f t="shared" ca="1" si="112"/>
        <v>0</v>
      </c>
      <c r="CC102" s="8"/>
      <c r="CD102" s="61">
        <f t="shared" si="113"/>
        <v>13.1</v>
      </c>
      <c r="CE102" s="61">
        <f t="shared" si="114"/>
        <v>19.100000000000001</v>
      </c>
      <c r="CF102" s="61">
        <f t="shared" si="115"/>
        <v>16.137803030303029</v>
      </c>
      <c r="CG102" s="14"/>
      <c r="CH102" s="35">
        <f t="shared" si="98"/>
        <v>12.199708496734379</v>
      </c>
      <c r="CI102" s="15">
        <f t="shared" si="116"/>
        <v>13.735000000000127</v>
      </c>
      <c r="CJ102" s="35">
        <f t="shared" si="99"/>
        <v>15.270291503265875</v>
      </c>
      <c r="CL102" s="14"/>
      <c r="CM102" s="17">
        <f t="shared" si="100"/>
        <v>5.9199999999999964</v>
      </c>
      <c r="CN102" s="17">
        <f t="shared" si="101"/>
        <v>9.509999999999998</v>
      </c>
      <c r="CO102" s="17">
        <f t="shared" si="102"/>
        <v>11.919999999999998</v>
      </c>
      <c r="CP102" s="38">
        <f t="shared" si="117"/>
        <v>15.51</v>
      </c>
      <c r="CQ102" s="17">
        <f t="shared" si="103"/>
        <v>17.920000000000002</v>
      </c>
      <c r="CR102" s="17">
        <f t="shared" si="104"/>
        <v>21.51</v>
      </c>
      <c r="CS102" s="17">
        <f t="shared" si="105"/>
        <v>23.92</v>
      </c>
      <c r="CT102" s="2" cm="1">
        <f t="array" aca="1" ref="CT102" ca="1">MAX(_xlfn._xlws.FILTER(CM102:CS102,CM102:CS102&lt;BO102))</f>
        <v>11.919999999999998</v>
      </c>
      <c r="CU102" s="2" cm="1">
        <f t="array" aca="1" ref="CU102" ca="1">MIN(_xlfn._xlws.FILTER($CM102:$CS102,$CM102:$CS102&gt;BO102))</f>
        <v>15.51</v>
      </c>
      <c r="CV102" s="16">
        <f t="shared" ca="1" si="119"/>
        <v>0.30117449664429552</v>
      </c>
      <c r="CW102" s="20">
        <f t="shared" ca="1" si="120"/>
        <v>-0.15058724832214776</v>
      </c>
      <c r="CX102" s="20">
        <f t="shared" ca="1" si="121"/>
        <v>-0.10039149888143184</v>
      </c>
      <c r="CY102" s="20">
        <f t="shared" ca="1" si="122"/>
        <v>-6.0234899328859101E-2</v>
      </c>
      <c r="CZ102" s="20">
        <f t="shared" ca="1" si="123"/>
        <v>-3.346383296047728E-2</v>
      </c>
      <c r="DA102" s="20">
        <f t="shared" ca="1" si="124"/>
        <v>-1.7716146861429149E-2</v>
      </c>
      <c r="DB102" s="20">
        <f t="shared" ca="1" si="125"/>
        <v>-9.1264998983119853E-3</v>
      </c>
      <c r="DC102" s="20">
        <f t="shared" ca="1" si="126"/>
        <v>-4.6334537945276234E-3</v>
      </c>
      <c r="DD102" s="21">
        <f t="shared" ca="1" si="127"/>
        <v>4.6334537945276234E-3</v>
      </c>
      <c r="DE102" s="21">
        <f t="shared" ca="1" si="128"/>
        <v>9.1264998983119853E-3</v>
      </c>
      <c r="DF102" s="21">
        <f t="shared" ca="1" si="129"/>
        <v>1.7716146861429149E-2</v>
      </c>
      <c r="DG102" s="21">
        <f t="shared" ca="1" si="130"/>
        <v>3.346383296047728E-2</v>
      </c>
      <c r="DH102" s="21">
        <f t="shared" ca="1" si="131"/>
        <v>6.0234899328859101E-2</v>
      </c>
      <c r="DI102" s="21">
        <f t="shared" ca="1" si="132"/>
        <v>0.10039149888143184</v>
      </c>
      <c r="DJ102" s="21">
        <f t="shared" ca="1" si="133"/>
        <v>0.15058724832214776</v>
      </c>
      <c r="DL102" s="16" cm="1">
        <f t="array" aca="1" ref="DL102" ca="1">MAX(_xlfn._xlws.FILTER(CW102:DJ102,CW102:DJ102&lt;BU102))</f>
        <v>9.1264998983119853E-3</v>
      </c>
      <c r="DM102" s="16" cm="1">
        <f t="array" aca="1" ref="DM102" ca="1">MIN(_xlfn._xlws.FILTER(CW102:DJ102,CW102:DJ102&gt;BU102))</f>
        <v>1.7716146861429149E-2</v>
      </c>
      <c r="DN102" s="2" cm="1">
        <f t="array" aca="1" ref="DN102" ca="1">_FV(EC102,"Fechamento anterior",TRUE)</f>
        <v>14.16</v>
      </c>
      <c r="DO102" s="28">
        <f t="shared" ca="1" si="106"/>
        <v>0.33518837637505472</v>
      </c>
      <c r="DP102" s="15">
        <f t="shared" ca="1" si="134"/>
        <v>14.289231238560097</v>
      </c>
      <c r="DQ102" s="15">
        <f t="shared" ca="1" si="135"/>
        <v>14.410860639557837</v>
      </c>
      <c r="DR102" s="9"/>
      <c r="DS102" s="9"/>
      <c r="DT102" s="9"/>
      <c r="DU102" s="89">
        <v>7.6110646711478012E-3</v>
      </c>
      <c r="DV102" s="89">
        <f t="shared" ca="1" si="107"/>
        <v>8.5896469631171635E-3</v>
      </c>
      <c r="DW102" s="72">
        <f t="shared" ca="1" si="108"/>
        <v>0.38754855265872101</v>
      </c>
      <c r="DX102" s="37"/>
      <c r="DY102" s="35">
        <f t="shared" si="118"/>
        <v>0.76764575163287407</v>
      </c>
      <c r="DZ102" s="56"/>
      <c r="EA102" s="56"/>
      <c r="EC102" s="2" t="e" vm="102">
        <v>#VALUE!</v>
      </c>
      <c r="EE102" s="10" cm="1">
        <f t="array" aca="1" ref="EE102" ca="1">_FV(EC102,"Ações em circulação",TRUE)</f>
        <v>677280700</v>
      </c>
      <c r="EF102" s="18">
        <f>VLOOKUP(BP102,Fundamentus!A:U,5,FALSE)</f>
        <v>0.63400000000000001</v>
      </c>
      <c r="EG102" s="2">
        <f t="shared" ca="1" si="109"/>
        <v>15308253045.741325</v>
      </c>
      <c r="EH102" s="17">
        <v>653662405.05315459</v>
      </c>
      <c r="EI102" s="17">
        <f t="shared" ca="1" si="110"/>
        <v>653662405.05315459</v>
      </c>
      <c r="EK102" s="16">
        <f t="shared" ca="1" si="97"/>
        <v>0</v>
      </c>
      <c r="EL102" s="32" t="str">
        <f>IF(VLOOKUP(BP102,Fundamentus!A:U,3,FALSE)&lt;15,"Bom",IF(VLOOKUP(BP102,Fundamentus!A:U,3,FALSE)&gt;15,"Ruim","n/a"))</f>
        <v>Ruim</v>
      </c>
      <c r="EM102" s="28" t="str">
        <f>IF(VLOOKUP(BP102,Fundamentus!A:U,4,FALSE)&lt;1,"Baixo",IF(VLOOKUP(BP102,Fundamentus!A:U,4,FALSE)&lt;1.5,"Moderado",IF(VLOOKUP(BP102,Fundamentus!A:U,4,FALSE)&gt;1.5,"Alto","n/a")))</f>
        <v>Alto</v>
      </c>
      <c r="EN102" s="17" t="str">
        <f>IF(VLOOKUP(BP102,Fundamentus!A:U,8,FALSE)&lt;0,"Risco elevado",IF(VLOOKUP(BP102,Fundamentus!A:U,8,FALSE)&lt;1,"Saudável",IF(VLOOKUP(BP102,Fundamentus!A:U,8,FALSE)&lt;3,"Estável",IF(VLOOKUP(BP102,Fundamentus!A:U,8,FALSE)&gt;3,"Alerta","n/a"))))</f>
        <v>Estável</v>
      </c>
      <c r="EO102" s="28" t="str">
        <f t="shared" si="111"/>
        <v>Ruim</v>
      </c>
      <c r="EP102" s="17" t="str">
        <f>IF(VLOOKUP(BP102,Fundamentus!A:U,12,FALSE)&lt;2,"Subvalorizada",IF(VLOOKUP(BP102,Fundamentus!A:U,12,FALSE)&lt;6,"Muita barata",IF(VLOOKUP(BP102,Fundamentus!A:U,12,FALSE)&lt;6,"Barata",IF(VLOOKUP(BP102,Fundamentus!A:U,12,FALSE)&lt;8,"Atrativa",IF(VLOOKUP(BP102,Fundamentus!A:U,12,FALSE)&gt;8,"Supervalorizada","n/a")))))</f>
        <v>Atrativa</v>
      </c>
      <c r="ER102" s="17" t="str">
        <f>IF(VLOOKUP(BP102,Fundamentus!A:U,17,FALSE)&lt;0.1,"Fraco retorno",IF(VLOOKUP(BP102,Fundamentus!A:U,17,FALSE)&gt;0.1,"Bom retorno","n/a"))</f>
        <v>Bom retorno</v>
      </c>
      <c r="ES102" s="17" t="str">
        <f>IF(VLOOKUP(BP102,Fundamentus!A:U,16,FALSE)&lt;0.1,"Ineficiente",IF(VLOOKUP(BP102,Fundamentus!A:U,16,FALSE)&gt;0.1,"Eficiente","n/a"))</f>
        <v>Eficiente</v>
      </c>
      <c r="ET102" s="33" t="str">
        <f>IF(VLOOKUP(BP102,Fundamentus!A:U,16,FALSE)&lt;0.1,"Oper. Ineficiente",IF(VLOOKUP(BP102,Fundamentus!A:U,16,FALSE)&gt;0.1,"Oper.Eficiente","n/a"))</f>
        <v>Oper.Eficiente</v>
      </c>
      <c r="EU102" s="34">
        <f>VLOOKUP(BP102,Fundamentus!A:U,14,FALSE)</f>
        <v>4.2700000000000002E-2</v>
      </c>
      <c r="EV102" s="17" t="str">
        <f>IF(VLOOKUP(BP102,Fundamentus!A:U,21,FALSE)&lt;0,"Negativo",IF(VLOOKUP(BP102,Fundamentus!A:U,21,FALSE)&lt;0.05,"Fraco",IF(VLOOKUP(BP102,Fundamentus!A:U,21,FALSE)&lt;0.1,"Bom",IF(VLOOKUP(BP102,Fundamentus!A:U,21,FALSE)&gt;0.1,"Muito bom","n/a"))))</f>
        <v>Muito bom</v>
      </c>
      <c r="EX102" s="29" t="str">
        <f>IF(VLOOKUP(BP102,Fundamentus!A:U,15,FALSE)&gt;1,"Bom",IF(VLOOKUP(BP102,Fundamentus!A:U,15,FALSE)&lt;1,"Ruim","n/a"))</f>
        <v>Bom</v>
      </c>
      <c r="EY102" s="17" t="str">
        <f>IF(VLOOKUP(BP102,Fundamentus!A:U,20,FALSE)&lt;0.5,"Baixa",IF(VLOOKUP(BP102,Fundamentus!A:U,20,FALSE)&lt;1,"Moderada",IF(VLOOKUP(BP102,Fundamentus!A:U,20,FALSE)&lt;2,"Alerta",IF(VLOOKUP(BP102,Fundamentus!A:U,20,FALSE)&gt;2,"Alta","n/a"))))</f>
        <v>Alerta</v>
      </c>
      <c r="EZ102" s="10"/>
    </row>
    <row r="103" spans="1:156" s="2" customFormat="1" ht="11.25" x14ac:dyDescent="0.2">
      <c r="A103" s="4">
        <v>4.45</v>
      </c>
      <c r="B103" s="4">
        <v>4.2</v>
      </c>
      <c r="C103" s="4">
        <v>4.17</v>
      </c>
      <c r="D103" s="4">
        <v>4.0199999999999996</v>
      </c>
      <c r="E103" s="4">
        <v>4.01</v>
      </c>
      <c r="F103" s="4">
        <v>3.69</v>
      </c>
      <c r="G103" s="4">
        <v>3.62</v>
      </c>
      <c r="H103" s="4">
        <v>3.77</v>
      </c>
      <c r="I103" s="4">
        <v>3.72</v>
      </c>
      <c r="J103" s="4">
        <v>4</v>
      </c>
      <c r="K103" s="4">
        <v>4</v>
      </c>
      <c r="L103" s="4">
        <v>3.77</v>
      </c>
      <c r="M103" s="4">
        <v>3.6</v>
      </c>
      <c r="N103" s="4">
        <v>3.49</v>
      </c>
      <c r="O103" s="4">
        <v>3.8</v>
      </c>
      <c r="P103" s="4">
        <v>3.59</v>
      </c>
      <c r="Q103" s="4">
        <v>3.79</v>
      </c>
      <c r="R103" s="4">
        <v>3.49</v>
      </c>
      <c r="S103" s="4">
        <v>3.54</v>
      </c>
      <c r="T103" s="4">
        <v>3.52</v>
      </c>
      <c r="U103" s="4">
        <v>3.42</v>
      </c>
      <c r="V103" s="4">
        <v>3.44</v>
      </c>
      <c r="W103" s="4">
        <v>3.41</v>
      </c>
      <c r="X103" s="4">
        <v>3.26</v>
      </c>
      <c r="Y103" s="4">
        <v>3.3</v>
      </c>
      <c r="Z103" s="4">
        <v>3.21</v>
      </c>
      <c r="AA103" s="4">
        <v>3.07</v>
      </c>
      <c r="AB103" s="4">
        <v>3.25</v>
      </c>
      <c r="AC103" s="4">
        <v>3.2</v>
      </c>
      <c r="AD103" s="4">
        <v>3.25</v>
      </c>
      <c r="AE103" s="4">
        <v>3</v>
      </c>
      <c r="AF103" s="4">
        <v>2.78</v>
      </c>
      <c r="AG103" s="4">
        <v>2.84</v>
      </c>
      <c r="AH103" s="4">
        <v>2.83</v>
      </c>
      <c r="AI103" s="4">
        <v>2.78</v>
      </c>
      <c r="AJ103" s="4">
        <v>2.72</v>
      </c>
      <c r="AK103" s="4">
        <v>2.71</v>
      </c>
      <c r="AL103" s="4">
        <v>2.95</v>
      </c>
      <c r="AM103" s="4">
        <v>2.85</v>
      </c>
      <c r="AN103" s="4">
        <v>2.65</v>
      </c>
      <c r="AO103" s="4">
        <v>2.4500000000000002</v>
      </c>
      <c r="AP103" s="4">
        <v>2.4900000000000002</v>
      </c>
      <c r="AQ103" s="4">
        <v>2.1800000000000002</v>
      </c>
      <c r="AR103" s="4">
        <v>1.98</v>
      </c>
      <c r="AS103" s="4">
        <v>2.3199999999999998</v>
      </c>
      <c r="AT103" s="4">
        <v>2.23</v>
      </c>
      <c r="AU103" s="4">
        <v>2.2749999999999999</v>
      </c>
      <c r="AV103" s="4">
        <v>2.2799999999999998</v>
      </c>
      <c r="AW103" s="4">
        <v>2.21</v>
      </c>
      <c r="AX103" s="4">
        <v>2.2599999999999998</v>
      </c>
      <c r="AY103" s="12">
        <v>2.68</v>
      </c>
      <c r="AZ103" s="12">
        <v>2.8</v>
      </c>
      <c r="BA103" s="12">
        <v>3.03</v>
      </c>
      <c r="BB103" s="15">
        <v>2.95</v>
      </c>
      <c r="BC103" s="52">
        <v>2.85</v>
      </c>
      <c r="BD103" s="52">
        <v>2.95</v>
      </c>
      <c r="BE103" s="52">
        <v>3.18</v>
      </c>
      <c r="BF103" s="52">
        <v>3.3</v>
      </c>
      <c r="BG103" s="67">
        <v>3.7</v>
      </c>
      <c r="BH103" s="52">
        <v>3.7</v>
      </c>
      <c r="BI103" s="52">
        <v>3.61</v>
      </c>
      <c r="BJ103" s="52">
        <v>3.53</v>
      </c>
      <c r="BK103" s="52">
        <v>3.47</v>
      </c>
      <c r="BL103" s="52">
        <v>3.62</v>
      </c>
      <c r="BM103" s="52">
        <v>3.75</v>
      </c>
      <c r="BN103" s="52">
        <v>3.59</v>
      </c>
      <c r="BO103" s="52" cm="1">
        <f t="array" aca="1" ref="BO103" ca="1">_FV(EC103,"Preço")</f>
        <v>3.59</v>
      </c>
      <c r="BP103" s="69" t="s">
        <v>100</v>
      </c>
      <c r="BQ103" s="36" cm="1">
        <f t="array" aca="1" ref="BQ103" ca="1">_FV(EC103,"Média de volume",TRUE)</f>
        <v>2815300</v>
      </c>
      <c r="BR103" s="36">
        <v>1792400</v>
      </c>
      <c r="BS103" s="36" cm="1">
        <f t="array" aca="1" ref="BS103" ca="1">_FV(EC103,"Volume")</f>
        <v>1792400</v>
      </c>
      <c r="BT103" s="24" cm="1">
        <f t="array" aca="1" ref="BT103" ca="1">_FV(EC103,"Beta")</f>
        <v>1.2230000000000001</v>
      </c>
      <c r="BU103" s="71" cm="1">
        <f t="array" aca="1" ref="BU103" ca="1">_FV(EC103,"Variação (%)",TRUE)</f>
        <v>1.4124000000000001E-2</v>
      </c>
      <c r="BW103" s="17" cm="1">
        <f t="array" aca="1" ref="BW103" ca="1">_FV(EC103,"Baixo")</f>
        <v>3.51</v>
      </c>
      <c r="BX103" s="17" cm="1">
        <f t="array" aca="1" ref="BX103" ca="1">_FV(EC103,"Alto")</f>
        <v>3.67</v>
      </c>
      <c r="BY103" s="24"/>
      <c r="BZ103" s="63" t="e">
        <f ca="1">SQRT(22.5*(BO103/VLOOKUP(BP103,Fundamentus!A:U,3,FALSE))*(BO103/VLOOKUP(BP103,Fundamentus!A:U,4,FALSE)))</f>
        <v>#NUM!</v>
      </c>
      <c r="CB103" s="62">
        <f t="shared" ca="1" si="112"/>
        <v>0</v>
      </c>
      <c r="CC103" s="8"/>
      <c r="CD103" s="61">
        <f t="shared" si="113"/>
        <v>1.98</v>
      </c>
      <c r="CE103" s="61">
        <f t="shared" si="114"/>
        <v>4.45</v>
      </c>
      <c r="CF103" s="61">
        <f t="shared" si="115"/>
        <v>3.2203787878787877</v>
      </c>
      <c r="CG103" s="14"/>
      <c r="CH103" s="35">
        <f t="shared" si="98"/>
        <v>3.5413627820391929</v>
      </c>
      <c r="CI103" s="15">
        <f t="shared" si="116"/>
        <v>3.7300000000000182</v>
      </c>
      <c r="CJ103" s="35">
        <f t="shared" si="99"/>
        <v>3.9186372179608435</v>
      </c>
      <c r="CL103" s="14"/>
      <c r="CM103" s="17">
        <f t="shared" si="100"/>
        <v>-0.24000000000000066</v>
      </c>
      <c r="CN103" s="17">
        <f t="shared" si="101"/>
        <v>0.86999999999999966</v>
      </c>
      <c r="CO103" s="17">
        <f t="shared" si="102"/>
        <v>2.2299999999999995</v>
      </c>
      <c r="CP103" s="38">
        <f t="shared" si="117"/>
        <v>3.34</v>
      </c>
      <c r="CQ103" s="17">
        <f t="shared" si="103"/>
        <v>4.6999999999999993</v>
      </c>
      <c r="CR103" s="17">
        <f t="shared" si="104"/>
        <v>5.8100000000000005</v>
      </c>
      <c r="CS103" s="17">
        <f t="shared" si="105"/>
        <v>7.17</v>
      </c>
      <c r="CT103" s="2" cm="1">
        <f t="array" aca="1" ref="CT103" ca="1">MAX(_xlfn._xlws.FILTER(CM103:CS103,CM103:CS103&lt;BO103))</f>
        <v>3.34</v>
      </c>
      <c r="CU103" s="2" cm="1">
        <f t="array" aca="1" ref="CU103" ca="1">MIN(_xlfn._xlws.FILTER($CM103:$CS103,$CM103:$CS103&gt;BO103))</f>
        <v>4.6999999999999993</v>
      </c>
      <c r="CV103" s="16">
        <f t="shared" ca="1" si="119"/>
        <v>0.40718562874251485</v>
      </c>
      <c r="CW103" s="20">
        <f t="shared" ca="1" si="120"/>
        <v>-0.20359281437125742</v>
      </c>
      <c r="CX103" s="20">
        <f t="shared" ca="1" si="121"/>
        <v>-0.13572854291417161</v>
      </c>
      <c r="CY103" s="20">
        <f t="shared" ca="1" si="122"/>
        <v>-8.1437125748502967E-2</v>
      </c>
      <c r="CZ103" s="20">
        <f t="shared" ca="1" si="123"/>
        <v>-4.5242847638057207E-2</v>
      </c>
      <c r="DA103" s="20">
        <f t="shared" ca="1" si="124"/>
        <v>-2.3952095808383228E-2</v>
      </c>
      <c r="DB103" s="20">
        <f t="shared" ca="1" si="125"/>
        <v>-1.2338958446742874E-2</v>
      </c>
      <c r="DC103" s="20">
        <f t="shared" ca="1" si="126"/>
        <v>-6.2643942883463819E-3</v>
      </c>
      <c r="DD103" s="21">
        <f t="shared" ca="1" si="127"/>
        <v>6.2643942883463819E-3</v>
      </c>
      <c r="DE103" s="21">
        <f t="shared" ca="1" si="128"/>
        <v>1.2338958446742874E-2</v>
      </c>
      <c r="DF103" s="21">
        <f t="shared" ca="1" si="129"/>
        <v>2.3952095808383228E-2</v>
      </c>
      <c r="DG103" s="21">
        <f t="shared" ca="1" si="130"/>
        <v>4.5242847638057207E-2</v>
      </c>
      <c r="DH103" s="21">
        <f t="shared" ca="1" si="131"/>
        <v>8.1437125748502967E-2</v>
      </c>
      <c r="DI103" s="21">
        <f t="shared" ca="1" si="132"/>
        <v>0.13572854291417161</v>
      </c>
      <c r="DJ103" s="21">
        <f t="shared" ca="1" si="133"/>
        <v>0.20359281437125742</v>
      </c>
      <c r="DL103" s="16" cm="1">
        <f t="array" aca="1" ref="DL103" ca="1">MAX(_xlfn._xlws.FILTER(CW103:DJ103,CW103:DJ103&lt;BU103))</f>
        <v>1.2338958446742874E-2</v>
      </c>
      <c r="DM103" s="16" cm="1">
        <f t="array" aca="1" ref="DM103" ca="1">MIN(_xlfn._xlws.FILTER(CW103:DJ103,CW103:DJ103&gt;BU103))</f>
        <v>2.3952095808383228E-2</v>
      </c>
      <c r="DN103" s="2" cm="1">
        <f t="array" aca="1" ref="DN103" ca="1">_FV(EC103,"Fechamento anterior",TRUE)</f>
        <v>3.54</v>
      </c>
      <c r="DO103" s="28">
        <f t="shared" ca="1" si="106"/>
        <v>0.15373411016948216</v>
      </c>
      <c r="DP103" s="15">
        <f t="shared" ca="1" si="134"/>
        <v>3.58367991290147</v>
      </c>
      <c r="DQ103" s="15">
        <f t="shared" ca="1" si="135"/>
        <v>3.6247904191616769</v>
      </c>
      <c r="DR103" s="9"/>
      <c r="DS103" s="9"/>
      <c r="DT103" s="9"/>
      <c r="DU103" s="89">
        <v>6.1009637129040128E-3</v>
      </c>
      <c r="DV103" s="89">
        <f t="shared" ca="1" si="107"/>
        <v>1.1613137361640354E-2</v>
      </c>
      <c r="DW103" s="72">
        <f t="shared" ca="1" si="108"/>
        <v>-0.74216531347007253</v>
      </c>
      <c r="DX103" s="37"/>
      <c r="DY103" s="35">
        <f t="shared" si="118"/>
        <v>9.4318608980412749E-2</v>
      </c>
      <c r="DZ103" s="56"/>
      <c r="EA103" s="56"/>
      <c r="EC103" s="2" t="e" vm="103">
        <v>#VALUE!</v>
      </c>
      <c r="EE103" s="10" cm="1">
        <f t="array" aca="1" ref="EE103" ca="1">_FV(EC103,"Ações em circulação",TRUE)</f>
        <v>1360383000</v>
      </c>
      <c r="EF103" s="18">
        <f>VLOOKUP(BP103,Fundamentus!A:U,5,FALSE)</f>
        <v>3.5790000000000002</v>
      </c>
      <c r="EG103" s="2">
        <f t="shared" ca="1" si="109"/>
        <v>1364564115.6747694</v>
      </c>
      <c r="EH103" s="17">
        <v>-502432507.39145011</v>
      </c>
      <c r="EI103" s="17">
        <f t="shared" ca="1" si="110"/>
        <v>-502432507.39145011</v>
      </c>
      <c r="EK103" s="16">
        <f t="shared" ca="1" si="97"/>
        <v>0</v>
      </c>
      <c r="EL103" s="32" t="str">
        <f>IF(VLOOKUP(BP103,Fundamentus!A:U,3,FALSE)&lt;15,"Bom",IF(VLOOKUP(BP103,Fundamentus!A:U,3,FALSE)&gt;15,"Ruim","n/a"))</f>
        <v>Bom</v>
      </c>
      <c r="EM103" s="28" t="str">
        <f>IF(VLOOKUP(BP103,Fundamentus!A:U,4,FALSE)&lt;1,"Baixo",IF(VLOOKUP(BP103,Fundamentus!A:U,4,FALSE)&lt;1.5,"Moderado",IF(VLOOKUP(BP103,Fundamentus!A:U,4,FALSE)&gt;1.5,"Alto","n/a")))</f>
        <v>Alto</v>
      </c>
      <c r="EN103" s="17" t="str">
        <f>IF(VLOOKUP(BP103,Fundamentus!A:U,8,FALSE)&lt;0,"Risco elevado",IF(VLOOKUP(BP103,Fundamentus!A:U,8,FALSE)&lt;1,"Saudável",IF(VLOOKUP(BP103,Fundamentus!A:U,8,FALSE)&lt;3,"Estável",IF(VLOOKUP(BP103,Fundamentus!A:U,8,FALSE)&gt;3,"Alerta","n/a"))))</f>
        <v>Alerta</v>
      </c>
      <c r="EO103" s="28" t="str">
        <f t="shared" si="111"/>
        <v>Bom</v>
      </c>
      <c r="EP103" s="17" t="str">
        <f>IF(VLOOKUP(BP103,Fundamentus!A:U,12,FALSE)&lt;2,"Subvalorizada",IF(VLOOKUP(BP103,Fundamentus!A:U,12,FALSE)&lt;6,"Muita barata",IF(VLOOKUP(BP103,Fundamentus!A:U,12,FALSE)&lt;6,"Barata",IF(VLOOKUP(BP103,Fundamentus!A:U,12,FALSE)&lt;8,"Atrativa",IF(VLOOKUP(BP103,Fundamentus!A:U,12,FALSE)&gt;8,"Supervalorizada","n/a")))))</f>
        <v>Supervalorizada</v>
      </c>
      <c r="ER103" s="17" t="str">
        <f>IF(VLOOKUP(BP103,Fundamentus!A:U,17,FALSE)&lt;0.1,"Fraco retorno",IF(VLOOKUP(BP103,Fundamentus!A:U,17,FALSE)&gt;0.1,"Bom retorno","n/a"))</f>
        <v>Fraco retorno</v>
      </c>
      <c r="ES103" s="17" t="str">
        <f>IF(VLOOKUP(BP103,Fundamentus!A:U,16,FALSE)&lt;0.1,"Ineficiente",IF(VLOOKUP(BP103,Fundamentus!A:U,16,FALSE)&gt;0.1,"Eficiente","n/a"))</f>
        <v>Ineficiente</v>
      </c>
      <c r="ET103" s="33" t="str">
        <f>IF(VLOOKUP(BP103,Fundamentus!A:U,16,FALSE)&lt;0.1,"Oper. Ineficiente",IF(VLOOKUP(BP103,Fundamentus!A:U,16,FALSE)&gt;0.1,"Oper.Eficiente","n/a"))</f>
        <v>Oper. Ineficiente</v>
      </c>
      <c r="EU103" s="34">
        <f>VLOOKUP(BP103,Fundamentus!A:U,14,FALSE)</f>
        <v>-0.36820000000000003</v>
      </c>
      <c r="EV103" s="17" t="str">
        <f>IF(VLOOKUP(BP103,Fundamentus!A:U,21,FALSE)&lt;0,"Negativo",IF(VLOOKUP(BP103,Fundamentus!A:U,21,FALSE)&lt;0.05,"Fraco",IF(VLOOKUP(BP103,Fundamentus!A:U,21,FALSE)&lt;0.1,"Bom",IF(VLOOKUP(BP103,Fundamentus!A:U,21,FALSE)&gt;0.1,"Muito bom","n/a"))))</f>
        <v>Fraco</v>
      </c>
      <c r="EX103" s="29" t="str">
        <f>IF(VLOOKUP(BP103,Fundamentus!A:U,15,FALSE)&gt;1,"Bom",IF(VLOOKUP(BP103,Fundamentus!A:U,15,FALSE)&lt;1,"Ruim","n/a"))</f>
        <v>Bom</v>
      </c>
      <c r="EY103" s="17" t="str">
        <f>IF(VLOOKUP(BP103,Fundamentus!A:U,20,FALSE)&lt;0.5,"Baixa",IF(VLOOKUP(BP103,Fundamentus!A:U,20,FALSE)&lt;1,"Moderada",IF(VLOOKUP(BP103,Fundamentus!A:U,20,FALSE)&lt;2,"Alerta",IF(VLOOKUP(BP103,Fundamentus!A:U,20,FALSE)&gt;2,"Alta","n/a"))))</f>
        <v>Alta</v>
      </c>
      <c r="EZ103" s="10"/>
    </row>
    <row r="104" spans="1:156" s="2" customFormat="1" ht="11.25" x14ac:dyDescent="0.2">
      <c r="A104" s="4">
        <v>12.75</v>
      </c>
      <c r="B104" s="4">
        <v>12.73</v>
      </c>
      <c r="C104" s="4">
        <v>12.69</v>
      </c>
      <c r="D104" s="4">
        <v>12.16</v>
      </c>
      <c r="E104" s="4">
        <v>12.02</v>
      </c>
      <c r="F104" s="4">
        <v>11.91</v>
      </c>
      <c r="G104" s="4">
        <v>11.59</v>
      </c>
      <c r="H104" s="4">
        <v>12.03</v>
      </c>
      <c r="I104" s="4">
        <v>11.58</v>
      </c>
      <c r="J104" s="4">
        <v>12.14</v>
      </c>
      <c r="K104" s="4">
        <v>12.99</v>
      </c>
      <c r="L104" s="4">
        <v>12.41</v>
      </c>
      <c r="M104" s="4">
        <v>12.48</v>
      </c>
      <c r="N104" s="4">
        <v>12.7</v>
      </c>
      <c r="O104" s="4">
        <v>13.23</v>
      </c>
      <c r="P104" s="4">
        <v>13.4</v>
      </c>
      <c r="Q104" s="4">
        <v>13.6</v>
      </c>
      <c r="R104" s="4">
        <v>13.25</v>
      </c>
      <c r="S104" s="4">
        <v>13.49</v>
      </c>
      <c r="T104" s="4">
        <v>13.13</v>
      </c>
      <c r="U104" s="4">
        <v>12.48</v>
      </c>
      <c r="V104" s="4">
        <v>12.39</v>
      </c>
      <c r="W104" s="4">
        <v>12.2</v>
      </c>
      <c r="X104" s="4">
        <v>12.11</v>
      </c>
      <c r="Y104" s="4">
        <v>12.07</v>
      </c>
      <c r="Z104" s="4">
        <v>12.06</v>
      </c>
      <c r="AA104" s="4">
        <v>11.85</v>
      </c>
      <c r="AB104" s="4">
        <v>11.69</v>
      </c>
      <c r="AC104" s="4">
        <v>11.91</v>
      </c>
      <c r="AD104" s="4">
        <v>12.05</v>
      </c>
      <c r="AE104" s="4">
        <v>11.03</v>
      </c>
      <c r="AF104" s="4">
        <v>10.7</v>
      </c>
      <c r="AG104" s="4">
        <v>10.63</v>
      </c>
      <c r="AH104" s="4">
        <v>10.16</v>
      </c>
      <c r="AI104" s="4">
        <v>10.23</v>
      </c>
      <c r="AJ104" s="4">
        <v>10.1</v>
      </c>
      <c r="AK104" s="4">
        <v>10.3</v>
      </c>
      <c r="AL104" s="4">
        <v>10.64</v>
      </c>
      <c r="AM104" s="4">
        <v>10.8</v>
      </c>
      <c r="AN104" s="4">
        <v>11.23</v>
      </c>
      <c r="AO104" s="4">
        <v>10.92</v>
      </c>
      <c r="AP104" s="4">
        <v>11.96</v>
      </c>
      <c r="AQ104" s="4">
        <v>11.79</v>
      </c>
      <c r="AR104" s="4">
        <v>11.7</v>
      </c>
      <c r="AS104" s="4">
        <v>11.81</v>
      </c>
      <c r="AT104" s="4">
        <v>11.69</v>
      </c>
      <c r="AU104" s="4">
        <v>11.85</v>
      </c>
      <c r="AV104" s="4">
        <v>11.9</v>
      </c>
      <c r="AW104" s="4">
        <v>11.73</v>
      </c>
      <c r="AX104" s="4">
        <v>11.7</v>
      </c>
      <c r="AY104" s="12">
        <v>12.52</v>
      </c>
      <c r="AZ104" s="12">
        <v>13.2</v>
      </c>
      <c r="BA104" s="12">
        <v>13.45</v>
      </c>
      <c r="BB104" s="15">
        <v>13.4</v>
      </c>
      <c r="BC104" s="52">
        <v>13.24</v>
      </c>
      <c r="BD104" s="52">
        <v>13.47</v>
      </c>
      <c r="BE104" s="52">
        <v>13.48</v>
      </c>
      <c r="BF104" s="52">
        <v>13.35</v>
      </c>
      <c r="BG104" s="67">
        <v>13.37</v>
      </c>
      <c r="BH104" s="52">
        <v>13.51</v>
      </c>
      <c r="BI104" s="52">
        <v>13.51</v>
      </c>
      <c r="BJ104" s="52">
        <v>13.79</v>
      </c>
      <c r="BK104" s="52">
        <v>12.94</v>
      </c>
      <c r="BL104" s="52">
        <v>12.55</v>
      </c>
      <c r="BM104" s="52">
        <v>12.4</v>
      </c>
      <c r="BN104" s="52">
        <v>12.5</v>
      </c>
      <c r="BO104" s="52" cm="1">
        <f t="array" aca="1" ref="BO104" ca="1">_FV(EC104,"Preço")</f>
        <v>12.5</v>
      </c>
      <c r="BP104" s="69" t="s">
        <v>101</v>
      </c>
      <c r="BQ104" s="36" cm="1">
        <f t="array" aca="1" ref="BQ104" ca="1">_FV(EC104,"Média de volume",TRUE)</f>
        <v>8617710</v>
      </c>
      <c r="BR104" s="36">
        <v>11069800</v>
      </c>
      <c r="BS104" s="36" cm="1">
        <f t="array" aca="1" ref="BS104" ca="1">_FV(EC104,"Volume")</f>
        <v>11069800</v>
      </c>
      <c r="BT104" s="24" cm="1">
        <f t="array" aca="1" ref="BT104" ca="1">_FV(EC104,"Beta")</f>
        <v>1.0417000000000001</v>
      </c>
      <c r="BU104" s="71" cm="1">
        <f t="array" aca="1" ref="BU104" ca="1">_FV(EC104,"Variação (%)",TRUE)</f>
        <v>1.5435000000000001E-2</v>
      </c>
      <c r="BW104" s="17" cm="1">
        <f t="array" aca="1" ref="BW104" ca="1">_FV(EC104,"Baixo")</f>
        <v>12.38</v>
      </c>
      <c r="BX104" s="17" cm="1">
        <f t="array" aca="1" ref="BX104" ca="1">_FV(EC104,"Alto")</f>
        <v>12.7</v>
      </c>
      <c r="BY104" s="24"/>
      <c r="BZ104" s="63" t="e">
        <f ca="1">SQRT(22.5*(BO104/VLOOKUP(BP104,Fundamentus!A:U,3,FALSE))*(BO104/VLOOKUP(BP104,Fundamentus!A:U,4,FALSE)))</f>
        <v>#N/A</v>
      </c>
      <c r="CB104" s="62">
        <f t="shared" ca="1" si="112"/>
        <v>0</v>
      </c>
      <c r="CC104" s="8"/>
      <c r="CD104" s="61">
        <f t="shared" si="113"/>
        <v>10.1</v>
      </c>
      <c r="CE104" s="61">
        <f t="shared" si="114"/>
        <v>13.79</v>
      </c>
      <c r="CF104" s="61">
        <f t="shared" si="115"/>
        <v>12.221818181818184</v>
      </c>
      <c r="CG104" s="14"/>
      <c r="CH104" s="35">
        <f t="shared" si="98"/>
        <v>11.207954991206375</v>
      </c>
      <c r="CI104" s="15">
        <f t="shared" si="116"/>
        <v>12.230000000000018</v>
      </c>
      <c r="CJ104" s="35">
        <f t="shared" si="99"/>
        <v>13.252045008793662</v>
      </c>
      <c r="CL104" s="14"/>
      <c r="CM104" s="17">
        <f t="shared" si="100"/>
        <v>6.7800000000000029</v>
      </c>
      <c r="CN104" s="17">
        <f t="shared" si="101"/>
        <v>8.4400000000000013</v>
      </c>
      <c r="CO104" s="17">
        <f t="shared" si="102"/>
        <v>10.470000000000002</v>
      </c>
      <c r="CP104" s="38">
        <f t="shared" si="117"/>
        <v>12.13</v>
      </c>
      <c r="CQ104" s="17">
        <f t="shared" si="103"/>
        <v>14.160000000000002</v>
      </c>
      <c r="CR104" s="17">
        <f t="shared" si="104"/>
        <v>15.82</v>
      </c>
      <c r="CS104" s="17">
        <f t="shared" si="105"/>
        <v>17.850000000000001</v>
      </c>
      <c r="CT104" s="2" cm="1">
        <f t="array" aca="1" ref="CT104" ca="1">MAX(_xlfn._xlws.FILTER(CM104:CS104,CM104:CS104&lt;BO104))</f>
        <v>12.13</v>
      </c>
      <c r="CU104" s="2" cm="1">
        <f t="array" aca="1" ref="CU104" ca="1">MIN(_xlfn._xlws.FILTER($CM104:$CS104,$CM104:$CS104&gt;BO104))</f>
        <v>14.160000000000002</v>
      </c>
      <c r="CV104" s="16">
        <f t="shared" ca="1" si="119"/>
        <v>0.16735366859027212</v>
      </c>
      <c r="CW104" s="20">
        <f t="shared" ca="1" si="120"/>
        <v>-8.367683429513606E-2</v>
      </c>
      <c r="CX104" s="20">
        <f t="shared" ca="1" si="121"/>
        <v>-5.5784556196757373E-2</v>
      </c>
      <c r="CY104" s="20">
        <f t="shared" ca="1" si="122"/>
        <v>-3.3470733718054424E-2</v>
      </c>
      <c r="CZ104" s="20">
        <f t="shared" ca="1" si="123"/>
        <v>-1.8594852065585792E-2</v>
      </c>
      <c r="DA104" s="20">
        <f t="shared" ca="1" si="124"/>
        <v>-9.8443334464865945E-3</v>
      </c>
      <c r="DB104" s="20">
        <f t="shared" ca="1" si="125"/>
        <v>-5.0713232906143069E-3</v>
      </c>
      <c r="DC104" s="20">
        <f t="shared" ca="1" si="126"/>
        <v>-2.574671824465725E-3</v>
      </c>
      <c r="DD104" s="21">
        <f t="shared" ca="1" si="127"/>
        <v>2.574671824465725E-3</v>
      </c>
      <c r="DE104" s="21">
        <f t="shared" ca="1" si="128"/>
        <v>5.0713232906143069E-3</v>
      </c>
      <c r="DF104" s="21">
        <f t="shared" ca="1" si="129"/>
        <v>9.8443334464865945E-3</v>
      </c>
      <c r="DG104" s="21">
        <f t="shared" ca="1" si="130"/>
        <v>1.8594852065585792E-2</v>
      </c>
      <c r="DH104" s="21">
        <f t="shared" ca="1" si="131"/>
        <v>3.3470733718054424E-2</v>
      </c>
      <c r="DI104" s="21">
        <f t="shared" ca="1" si="132"/>
        <v>5.5784556196757373E-2</v>
      </c>
      <c r="DJ104" s="21">
        <f t="shared" ca="1" si="133"/>
        <v>8.367683429513606E-2</v>
      </c>
      <c r="DL104" s="16" cm="1">
        <f t="array" aca="1" ref="DL104" ca="1">MAX(_xlfn._xlws.FILTER(CW104:DJ104,CW104:DJ104&lt;BU104))</f>
        <v>9.8443334464865945E-3</v>
      </c>
      <c r="DM104" s="16" cm="1">
        <f t="array" aca="1" ref="DM104" ca="1">MIN(_xlfn._xlws.FILTER(CW104:DJ104,CW104:DJ104&gt;BU104))</f>
        <v>1.8594852065585792E-2</v>
      </c>
      <c r="DN104" s="2" cm="1">
        <f t="array" aca="1" ref="DN104" ca="1">_FV(EC104,"Fechamento anterior",TRUE)</f>
        <v>12.31</v>
      </c>
      <c r="DO104" s="28">
        <f t="shared" ca="1" si="106"/>
        <v>0.63885042798316682</v>
      </c>
      <c r="DP104" s="15">
        <f t="shared" ca="1" si="134"/>
        <v>12.431183744726251</v>
      </c>
      <c r="DQ104" s="15">
        <f t="shared" ca="1" si="135"/>
        <v>12.538902628927362</v>
      </c>
      <c r="DR104" s="9"/>
      <c r="DS104" s="9"/>
      <c r="DT104" s="9"/>
      <c r="DU104" s="89">
        <v>2.5136955982181007E-3</v>
      </c>
      <c r="DV104" s="89">
        <f t="shared" ca="1" si="107"/>
        <v>8.7505186190991978E-3</v>
      </c>
      <c r="DW104" s="72">
        <f t="shared" ca="1" si="108"/>
        <v>0.26417623262861245</v>
      </c>
      <c r="DX104" s="37"/>
      <c r="DY104" s="35">
        <f t="shared" si="118"/>
        <v>0.51102250439682162</v>
      </c>
      <c r="DZ104" s="56"/>
      <c r="EA104" s="56"/>
      <c r="EC104" s="2" t="e" vm="104">
        <v>#VALUE!</v>
      </c>
      <c r="EE104" s="10" cm="1">
        <f t="array" aca="1" ref="EE104" ca="1">_FV(EC104,"Ações em circulação",TRUE)</f>
        <v>2020000000</v>
      </c>
      <c r="EF104" s="18" t="e">
        <f>VLOOKUP(BP104,Fundamentus!A:U,5,FALSE)</f>
        <v>#N/A</v>
      </c>
      <c r="EG104" s="2" t="e">
        <f t="shared" ca="1" si="109"/>
        <v>#N/A</v>
      </c>
      <c r="EH104" s="17" t="e">
        <v>#N/A</v>
      </c>
      <c r="EI104" s="17" t="e">
        <f t="shared" ca="1" si="110"/>
        <v>#N/A</v>
      </c>
      <c r="EK104" s="16" t="e">
        <f t="shared" ca="1" si="97"/>
        <v>#N/A</v>
      </c>
      <c r="EL104" s="32" t="e">
        <f>IF(VLOOKUP(BP104,Fundamentus!A:U,3,FALSE)&lt;15,"Bom",IF(VLOOKUP(BP104,Fundamentus!A:U,3,FALSE)&gt;15,"Ruim","n/a"))</f>
        <v>#N/A</v>
      </c>
      <c r="EM104" s="28" t="e">
        <f>IF(VLOOKUP(BP104,Fundamentus!A:U,4,FALSE)&lt;1,"Baixo",IF(VLOOKUP(BP104,Fundamentus!A:U,4,FALSE)&lt;1.5,"Moderado",IF(VLOOKUP(BP104,Fundamentus!A:U,4,FALSE)&gt;1.5,"Alto","n/a")))</f>
        <v>#N/A</v>
      </c>
      <c r="EN104" s="17" t="e">
        <f>IF(VLOOKUP(BP104,Fundamentus!A:U,8,FALSE)&lt;0,"Risco elevado",IF(VLOOKUP(BP104,Fundamentus!A:U,8,FALSE)&lt;1,"Saudável",IF(VLOOKUP(BP104,Fundamentus!A:U,8,FALSE)&lt;3,"Estável",IF(VLOOKUP(BP104,Fundamentus!A:U,8,FALSE)&gt;3,"Alerta","n/a"))))</f>
        <v>#N/A</v>
      </c>
      <c r="EO104" s="28" t="e">
        <f t="shared" si="111"/>
        <v>#N/A</v>
      </c>
      <c r="EP104" s="17" t="e">
        <f>IF(VLOOKUP(BP104,Fundamentus!A:U,12,FALSE)&lt;2,"Subvalorizada",IF(VLOOKUP(BP104,Fundamentus!A:U,12,FALSE)&lt;6,"Muita barata",IF(VLOOKUP(BP104,Fundamentus!A:U,12,FALSE)&lt;6,"Barata",IF(VLOOKUP(BP104,Fundamentus!A:U,12,FALSE)&lt;8,"Atrativa",IF(VLOOKUP(BP104,Fundamentus!A:U,12,FALSE)&gt;8,"Supervalorizada","n/a")))))</f>
        <v>#N/A</v>
      </c>
      <c r="ER104" s="17" t="e">
        <f>IF(VLOOKUP(BP104,Fundamentus!A:U,17,FALSE)&lt;0.1,"Fraco retorno",IF(VLOOKUP(BP104,Fundamentus!A:U,17,FALSE)&gt;0.1,"Bom retorno","n/a"))</f>
        <v>#N/A</v>
      </c>
      <c r="ES104" s="17" t="e">
        <f>IF(VLOOKUP(BP104,Fundamentus!A:U,16,FALSE)&lt;0.1,"Ineficiente",IF(VLOOKUP(BP104,Fundamentus!A:U,16,FALSE)&gt;0.1,"Eficiente","n/a"))</f>
        <v>#N/A</v>
      </c>
      <c r="ET104" s="33" t="e">
        <f>IF(VLOOKUP(BP104,Fundamentus!A:U,16,FALSE)&lt;0.1,"Oper. Ineficiente",IF(VLOOKUP(BP104,Fundamentus!A:U,16,FALSE)&gt;0.1,"Oper.Eficiente","n/a"))</f>
        <v>#N/A</v>
      </c>
      <c r="EU104" s="34" t="e">
        <f>VLOOKUP(BP104,Fundamentus!A:U,14,FALSE)</f>
        <v>#N/A</v>
      </c>
      <c r="EV104" s="17" t="e">
        <f>IF(VLOOKUP(BP104,Fundamentus!A:U,21,FALSE)&lt;0,"Negativo",IF(VLOOKUP(BP104,Fundamentus!A:U,21,FALSE)&lt;0.05,"Fraco",IF(VLOOKUP(BP104,Fundamentus!A:U,21,FALSE)&lt;0.1,"Bom",IF(VLOOKUP(BP104,Fundamentus!A:U,21,FALSE)&gt;0.1,"Muito bom","n/a"))))</f>
        <v>#N/A</v>
      </c>
      <c r="EX104" s="29" t="e">
        <f>IF(VLOOKUP(BP104,Fundamentus!A:U,15,FALSE)&gt;1,"Bom",IF(VLOOKUP(BP104,Fundamentus!A:U,15,FALSE)&lt;1,"Ruim","n/a"))</f>
        <v>#N/A</v>
      </c>
      <c r="EY104" s="17" t="e">
        <f>IF(VLOOKUP(BP104,Fundamentus!A:U,20,FALSE)&lt;0.5,"Baixa",IF(VLOOKUP(BP104,Fundamentus!A:U,20,FALSE)&lt;1,"Moderada",IF(VLOOKUP(BP104,Fundamentus!A:U,20,FALSE)&lt;2,"Alerta",IF(VLOOKUP(BP104,Fundamentus!A:U,20,FALSE)&gt;2,"Alta","n/a"))))</f>
        <v>#N/A</v>
      </c>
      <c r="EZ104" s="10"/>
    </row>
    <row r="105" spans="1:156" s="2" customFormat="1" ht="11.25" x14ac:dyDescent="0.2">
      <c r="A105" s="4">
        <v>4.54</v>
      </c>
      <c r="B105" s="4">
        <v>4.33</v>
      </c>
      <c r="C105" s="4">
        <v>4.28</v>
      </c>
      <c r="D105" s="4">
        <v>3.87</v>
      </c>
      <c r="E105" s="4">
        <v>3.82</v>
      </c>
      <c r="F105" s="4">
        <v>3.73</v>
      </c>
      <c r="G105" s="4">
        <v>3.67</v>
      </c>
      <c r="H105" s="4">
        <v>3.56</v>
      </c>
      <c r="I105" s="4">
        <v>3.43</v>
      </c>
      <c r="J105" s="4">
        <v>3.82</v>
      </c>
      <c r="K105" s="4">
        <v>3.76</v>
      </c>
      <c r="L105" s="4">
        <v>3.61</v>
      </c>
      <c r="M105" s="4">
        <v>3.42</v>
      </c>
      <c r="N105" s="4">
        <v>3.55</v>
      </c>
      <c r="O105" s="4">
        <v>3.6</v>
      </c>
      <c r="P105" s="4">
        <v>3.4</v>
      </c>
      <c r="Q105" s="4">
        <v>3.44</v>
      </c>
      <c r="R105" s="4">
        <v>3.39</v>
      </c>
      <c r="S105" s="4">
        <v>3.37</v>
      </c>
      <c r="T105" s="4">
        <v>3.54</v>
      </c>
      <c r="U105" s="4">
        <v>3.42</v>
      </c>
      <c r="V105" s="4">
        <v>3.52</v>
      </c>
      <c r="W105" s="4">
        <v>3.64</v>
      </c>
      <c r="X105" s="4">
        <v>3.54</v>
      </c>
      <c r="Y105" s="4">
        <v>3.56</v>
      </c>
      <c r="Z105" s="4">
        <v>3.58</v>
      </c>
      <c r="AA105" s="4">
        <v>3.51</v>
      </c>
      <c r="AB105" s="4">
        <v>3.52</v>
      </c>
      <c r="AC105" s="4">
        <v>3.7</v>
      </c>
      <c r="AD105" s="4">
        <v>3.69</v>
      </c>
      <c r="AE105" s="4">
        <v>3.41</v>
      </c>
      <c r="AF105" s="4">
        <v>3.39</v>
      </c>
      <c r="AG105" s="4">
        <v>3.88</v>
      </c>
      <c r="AH105" s="4">
        <v>3.51</v>
      </c>
      <c r="AI105" s="4">
        <v>3.59</v>
      </c>
      <c r="AJ105" s="4">
        <v>3.48</v>
      </c>
      <c r="AK105" s="4">
        <v>3.53</v>
      </c>
      <c r="AL105" s="4">
        <v>3.68</v>
      </c>
      <c r="AM105" s="4">
        <v>3.66</v>
      </c>
      <c r="AN105" s="4">
        <v>3.86</v>
      </c>
      <c r="AO105" s="4">
        <v>3.81</v>
      </c>
      <c r="AP105" s="4">
        <v>3.87</v>
      </c>
      <c r="AQ105" s="4">
        <v>3.74</v>
      </c>
      <c r="AR105" s="4">
        <v>3.74</v>
      </c>
      <c r="AS105" s="4">
        <v>3.78</v>
      </c>
      <c r="AT105" s="4">
        <v>3.99</v>
      </c>
      <c r="AU105" s="4">
        <v>3.2749999999999999</v>
      </c>
      <c r="AV105" s="4">
        <v>3.26</v>
      </c>
      <c r="AW105" s="4">
        <v>3.23</v>
      </c>
      <c r="AX105" s="4">
        <v>3.27</v>
      </c>
      <c r="AY105" s="12">
        <v>3.23</v>
      </c>
      <c r="AZ105" s="12">
        <v>3.28</v>
      </c>
      <c r="BA105" s="12">
        <v>3.24</v>
      </c>
      <c r="BB105" s="15">
        <v>3.26</v>
      </c>
      <c r="BC105" s="52">
        <v>3.2</v>
      </c>
      <c r="BD105" s="52">
        <v>3.53</v>
      </c>
      <c r="BE105" s="52">
        <v>3.41</v>
      </c>
      <c r="BF105" s="52">
        <v>3.44</v>
      </c>
      <c r="BG105" s="67">
        <v>3.33</v>
      </c>
      <c r="BH105" s="52">
        <v>3.29</v>
      </c>
      <c r="BI105" s="52">
        <v>3.27</v>
      </c>
      <c r="BJ105" s="52">
        <v>3.47</v>
      </c>
      <c r="BK105" s="52">
        <v>3.48</v>
      </c>
      <c r="BL105" s="52">
        <v>3.35</v>
      </c>
      <c r="BM105" s="52">
        <v>3.39</v>
      </c>
      <c r="BN105" s="52">
        <v>3.31</v>
      </c>
      <c r="BO105" s="52" cm="1">
        <f t="array" aca="1" ref="BO105" ca="1">_FV(EC105,"Preço")</f>
        <v>3.31</v>
      </c>
      <c r="BP105" s="69" t="s">
        <v>102</v>
      </c>
      <c r="BQ105" s="36" cm="1">
        <f t="array" aca="1" ref="BQ105" ca="1">_FV(EC105,"Média de volume",TRUE)</f>
        <v>201940</v>
      </c>
      <c r="BR105" s="36">
        <v>194100</v>
      </c>
      <c r="BS105" s="36" cm="1">
        <f t="array" aca="1" ref="BS105" ca="1">_FV(EC105,"Volume")</f>
        <v>194100</v>
      </c>
      <c r="BT105" s="24" cm="1">
        <f t="array" aca="1" ref="BT105" ca="1">_FV(EC105,"Beta")</f>
        <v>0.94720000000000004</v>
      </c>
      <c r="BU105" s="71" cm="1">
        <f t="array" aca="1" ref="BU105" ca="1">_FV(EC105,"Variação (%)",TRUE)</f>
        <v>6.0790000000000002E-3</v>
      </c>
      <c r="BW105" s="17" cm="1">
        <f t="array" aca="1" ref="BW105" ca="1">_FV(EC105,"Baixo")</f>
        <v>3.29</v>
      </c>
      <c r="BX105" s="17" cm="1">
        <f t="array" aca="1" ref="BX105" ca="1">_FV(EC105,"Alto")</f>
        <v>3.35</v>
      </c>
      <c r="BY105" s="24"/>
      <c r="BZ105" s="63">
        <f ca="1">SQRT(22.5*(BO105/VLOOKUP(BP105,Fundamentus!A:U,3,FALSE))*(BO105/VLOOKUP(BP105,Fundamentus!A:U,4,FALSE)))</f>
        <v>5.4263105251132293</v>
      </c>
      <c r="CB105" s="62">
        <f t="shared" ca="1" si="112"/>
        <v>0</v>
      </c>
      <c r="CC105" s="8"/>
      <c r="CD105" s="61">
        <f t="shared" si="113"/>
        <v>3.2</v>
      </c>
      <c r="CE105" s="61">
        <f t="shared" si="114"/>
        <v>4.54</v>
      </c>
      <c r="CF105" s="61">
        <f t="shared" si="115"/>
        <v>3.5643181818181824</v>
      </c>
      <c r="CG105" s="14"/>
      <c r="CH105" s="35">
        <f t="shared" si="98"/>
        <v>3.1323350083857702</v>
      </c>
      <c r="CI105" s="15">
        <f t="shared" si="116"/>
        <v>3.2649999999999864</v>
      </c>
      <c r="CJ105" s="35">
        <f t="shared" si="99"/>
        <v>3.3976649916142025</v>
      </c>
      <c r="CL105" s="14"/>
      <c r="CM105" s="17">
        <f t="shared" si="100"/>
        <v>1.4866666666666672</v>
      </c>
      <c r="CN105" s="17">
        <f t="shared" si="101"/>
        <v>2.3433333333333337</v>
      </c>
      <c r="CO105" s="17">
        <f t="shared" si="102"/>
        <v>2.8266666666666671</v>
      </c>
      <c r="CP105" s="38">
        <f t="shared" si="117"/>
        <v>3.6833333333333336</v>
      </c>
      <c r="CQ105" s="17">
        <f t="shared" si="103"/>
        <v>4.166666666666667</v>
      </c>
      <c r="CR105" s="17">
        <f t="shared" si="104"/>
        <v>5.0233333333333334</v>
      </c>
      <c r="CS105" s="17">
        <f t="shared" si="105"/>
        <v>5.5066666666666668</v>
      </c>
      <c r="CT105" s="2" cm="1">
        <f t="array" aca="1" ref="CT105" ca="1">MAX(_xlfn._xlws.FILTER(CM105:CS105,CM105:CS105&lt;BO105))</f>
        <v>2.8266666666666671</v>
      </c>
      <c r="CU105" s="2" cm="1">
        <f t="array" aca="1" ref="CU105" ca="1">MIN(_xlfn._xlws.FILTER($CM105:$CS105,$CM105:$CS105&gt;BO105))</f>
        <v>3.6833333333333336</v>
      </c>
      <c r="CV105" s="16">
        <f t="shared" ca="1" si="119"/>
        <v>0.30306603773584895</v>
      </c>
      <c r="CW105" s="20">
        <f t="shared" ca="1" si="120"/>
        <v>-0.15153301886792447</v>
      </c>
      <c r="CX105" s="20">
        <f t="shared" ca="1" si="121"/>
        <v>-0.10102201257861632</v>
      </c>
      <c r="CY105" s="20">
        <f t="shared" ca="1" si="122"/>
        <v>-6.0613207547169791E-2</v>
      </c>
      <c r="CZ105" s="20">
        <f t="shared" ca="1" si="123"/>
        <v>-3.3674004192872108E-2</v>
      </c>
      <c r="DA105" s="20">
        <f t="shared" ca="1" si="124"/>
        <v>-1.7827413984461703E-2</v>
      </c>
      <c r="DB105" s="20">
        <f t="shared" ca="1" si="125"/>
        <v>-9.1838193253287563E-3</v>
      </c>
      <c r="DC105" s="20">
        <f t="shared" ca="1" si="126"/>
        <v>-4.6625544267053683E-3</v>
      </c>
      <c r="DD105" s="21">
        <f t="shared" ca="1" si="127"/>
        <v>4.6625544267053683E-3</v>
      </c>
      <c r="DE105" s="21">
        <f t="shared" ca="1" si="128"/>
        <v>9.1838193253287563E-3</v>
      </c>
      <c r="DF105" s="21">
        <f t="shared" ca="1" si="129"/>
        <v>1.7827413984461703E-2</v>
      </c>
      <c r="DG105" s="21">
        <f t="shared" ca="1" si="130"/>
        <v>3.3674004192872108E-2</v>
      </c>
      <c r="DH105" s="21">
        <f t="shared" ca="1" si="131"/>
        <v>6.0613207547169791E-2</v>
      </c>
      <c r="DI105" s="21">
        <f t="shared" ca="1" si="132"/>
        <v>0.10102201257861632</v>
      </c>
      <c r="DJ105" s="21">
        <f t="shared" ca="1" si="133"/>
        <v>0.15153301886792447</v>
      </c>
      <c r="DL105" s="16" cm="1">
        <f t="array" aca="1" ref="DL105" ca="1">MAX(_xlfn._xlws.FILTER(CW105:DJ105,CW105:DJ105&lt;BU105))</f>
        <v>4.6625544267053683E-3</v>
      </c>
      <c r="DM105" s="16" cm="1">
        <f t="array" aca="1" ref="DM105" ca="1">MIN(_xlfn._xlws.FILTER(CW105:DJ105,CW105:DJ105&gt;BU105))</f>
        <v>9.1838193253287563E-3</v>
      </c>
      <c r="DN105" s="2" cm="1">
        <f t="array" aca="1" ref="DN105" ca="1">_FV(EC105,"Fechamento anterior",TRUE)</f>
        <v>3.29</v>
      </c>
      <c r="DO105" s="28">
        <f t="shared" ca="1" si="106"/>
        <v>0.31329129362647873</v>
      </c>
      <c r="DP105" s="15">
        <f t="shared" ca="1" si="134"/>
        <v>3.3053398040638609</v>
      </c>
      <c r="DQ105" s="15">
        <f t="shared" ca="1" si="135"/>
        <v>3.3202147655803316</v>
      </c>
      <c r="DR105" s="9"/>
      <c r="DS105" s="9"/>
      <c r="DT105" s="9"/>
      <c r="DU105" s="89">
        <v>8.4295400403151914E-3</v>
      </c>
      <c r="DV105" s="89">
        <f t="shared" ca="1" si="107"/>
        <v>4.521264898623388E-3</v>
      </c>
      <c r="DW105" s="72">
        <f t="shared" ca="1" si="108"/>
        <v>0.33920026265008679</v>
      </c>
      <c r="DX105" s="37"/>
      <c r="DY105" s="35">
        <f t="shared" si="118"/>
        <v>6.6332495807108011E-2</v>
      </c>
      <c r="DZ105" s="56"/>
      <c r="EA105" s="56"/>
      <c r="EC105" s="2" t="e" vm="105">
        <v>#VALUE!</v>
      </c>
      <c r="EE105" s="10" cm="1">
        <f t="array" aca="1" ref="EE105" ca="1">_FV(EC105,"Ações em circulação",TRUE)</f>
        <v>206269300</v>
      </c>
      <c r="EF105" s="18">
        <f>VLOOKUP(BP105,Fundamentus!A:U,5,FALSE)</f>
        <v>0.69499999999999995</v>
      </c>
      <c r="EG105" s="2">
        <f t="shared" ca="1" si="109"/>
        <v>982376090.64748204</v>
      </c>
      <c r="EH105" s="17">
        <v>112580299.98820144</v>
      </c>
      <c r="EI105" s="17">
        <f t="shared" ca="1" si="110"/>
        <v>112580299.98820144</v>
      </c>
      <c r="EK105" s="16">
        <f t="shared" ca="1" si="97"/>
        <v>0</v>
      </c>
      <c r="EL105" s="32" t="str">
        <f>IF(VLOOKUP(BP105,Fundamentus!A:U,3,FALSE)&lt;15,"Bom",IF(VLOOKUP(BP105,Fundamentus!A:U,3,FALSE)&gt;15,"Ruim","n/a"))</f>
        <v>Bom</v>
      </c>
      <c r="EM105" s="28" t="str">
        <f>IF(VLOOKUP(BP105,Fundamentus!A:U,4,FALSE)&lt;1,"Baixo",IF(VLOOKUP(BP105,Fundamentus!A:U,4,FALSE)&lt;1.5,"Moderado",IF(VLOOKUP(BP105,Fundamentus!A:U,4,FALSE)&gt;1.5,"Alto","n/a")))</f>
        <v>Baixo</v>
      </c>
      <c r="EN105" s="17" t="str">
        <f>IF(VLOOKUP(BP105,Fundamentus!A:U,8,FALSE)&lt;0,"Risco elevado",IF(VLOOKUP(BP105,Fundamentus!A:U,8,FALSE)&lt;1,"Saudável",IF(VLOOKUP(BP105,Fundamentus!A:U,8,FALSE)&lt;3,"Estável",IF(VLOOKUP(BP105,Fundamentus!A:U,8,FALSE)&gt;3,"Alerta","n/a"))))</f>
        <v>Saudável</v>
      </c>
      <c r="EO105" s="28" t="str">
        <f t="shared" si="111"/>
        <v>Ruim</v>
      </c>
      <c r="EP105" s="17" t="str">
        <f>IF(VLOOKUP(BP105,Fundamentus!A:U,12,FALSE)&lt;2,"Subvalorizada",IF(VLOOKUP(BP105,Fundamentus!A:U,12,FALSE)&lt;6,"Muita barata",IF(VLOOKUP(BP105,Fundamentus!A:U,12,FALSE)&lt;6,"Barata",IF(VLOOKUP(BP105,Fundamentus!A:U,12,FALSE)&lt;8,"Atrativa",IF(VLOOKUP(BP105,Fundamentus!A:U,12,FALSE)&gt;8,"Supervalorizada","n/a")))))</f>
        <v>Supervalorizada</v>
      </c>
      <c r="ER105" s="17" t="str">
        <f>IF(VLOOKUP(BP105,Fundamentus!A:U,17,FALSE)&lt;0.1,"Fraco retorno",IF(VLOOKUP(BP105,Fundamentus!A:U,17,FALSE)&gt;0.1,"Bom retorno","n/a"))</f>
        <v>Fraco retorno</v>
      </c>
      <c r="ES105" s="17" t="str">
        <f>IF(VLOOKUP(BP105,Fundamentus!A:U,16,FALSE)&lt;0.1,"Ineficiente",IF(VLOOKUP(BP105,Fundamentus!A:U,16,FALSE)&gt;0.1,"Eficiente","n/a"))</f>
        <v>Ineficiente</v>
      </c>
      <c r="ET105" s="33" t="str">
        <f>IF(VLOOKUP(BP105,Fundamentus!A:U,16,FALSE)&lt;0.1,"Oper. Ineficiente",IF(VLOOKUP(BP105,Fundamentus!A:U,16,FALSE)&gt;0.1,"Oper.Eficiente","n/a"))</f>
        <v>Oper. Ineficiente</v>
      </c>
      <c r="EU105" s="34">
        <f>VLOOKUP(BP105,Fundamentus!A:U,14,FALSE)</f>
        <v>0.11459999999999999</v>
      </c>
      <c r="EV105" s="17" t="str">
        <f>IF(VLOOKUP(BP105,Fundamentus!A:U,21,FALSE)&lt;0,"Negativo",IF(VLOOKUP(BP105,Fundamentus!A:U,21,FALSE)&lt;0.05,"Fraco",IF(VLOOKUP(BP105,Fundamentus!A:U,21,FALSE)&lt;0.1,"Bom",IF(VLOOKUP(BP105,Fundamentus!A:U,21,FALSE)&gt;0.1,"Muito bom","n/a"))))</f>
        <v>Muito bom</v>
      </c>
      <c r="EX105" s="29" t="str">
        <f>IF(VLOOKUP(BP105,Fundamentus!A:U,15,FALSE)&gt;1,"Bom",IF(VLOOKUP(BP105,Fundamentus!A:U,15,FALSE)&lt;1,"Ruim","n/a"))</f>
        <v>Bom</v>
      </c>
      <c r="EY105" s="17" t="str">
        <f>IF(VLOOKUP(BP105,Fundamentus!A:U,20,FALSE)&lt;0.5,"Baixa",IF(VLOOKUP(BP105,Fundamentus!A:U,20,FALSE)&lt;1,"Moderada",IF(VLOOKUP(BP105,Fundamentus!A:U,20,FALSE)&lt;2,"Alerta",IF(VLOOKUP(BP105,Fundamentus!A:U,20,FALSE)&gt;2,"Alta","n/a"))))</f>
        <v>Baixa</v>
      </c>
      <c r="EZ105" s="10"/>
    </row>
    <row r="106" spans="1:156" s="2" customFormat="1" ht="11.25" x14ac:dyDescent="0.2">
      <c r="A106" s="4">
        <v>33.08</v>
      </c>
      <c r="B106" s="4">
        <v>32.67</v>
      </c>
      <c r="C106" s="4">
        <v>34.21</v>
      </c>
      <c r="D106" s="4">
        <v>34.950000000000003</v>
      </c>
      <c r="E106" s="4">
        <v>33.97</v>
      </c>
      <c r="F106" s="4">
        <v>33.340000000000003</v>
      </c>
      <c r="G106" s="4">
        <v>32.729999999999997</v>
      </c>
      <c r="H106" s="4">
        <v>32.630000000000003</v>
      </c>
      <c r="I106" s="4">
        <v>32.89</v>
      </c>
      <c r="J106" s="4">
        <v>33.08</v>
      </c>
      <c r="K106" s="4">
        <v>33.79</v>
      </c>
      <c r="L106" s="4">
        <v>32.880000000000003</v>
      </c>
      <c r="M106" s="4">
        <v>32.799999999999997</v>
      </c>
      <c r="N106" s="4">
        <v>33.18</v>
      </c>
      <c r="O106" s="4">
        <v>33.1</v>
      </c>
      <c r="P106" s="4">
        <v>33.44</v>
      </c>
      <c r="Q106" s="4">
        <v>33.770000000000003</v>
      </c>
      <c r="R106" s="4">
        <v>34.090000000000003</v>
      </c>
      <c r="S106" s="4">
        <v>34.65</v>
      </c>
      <c r="T106" s="4">
        <v>34</v>
      </c>
      <c r="U106" s="4">
        <v>33.380000000000003</v>
      </c>
      <c r="V106" s="4">
        <v>33.76</v>
      </c>
      <c r="W106" s="4">
        <v>34.01</v>
      </c>
      <c r="X106" s="4">
        <v>32.520000000000003</v>
      </c>
      <c r="Y106" s="4">
        <v>32.520000000000003</v>
      </c>
      <c r="Z106" s="4">
        <v>32.71</v>
      </c>
      <c r="AA106" s="4">
        <v>32.42</v>
      </c>
      <c r="AB106" s="4">
        <v>32.24</v>
      </c>
      <c r="AC106" s="4">
        <v>32.36</v>
      </c>
      <c r="AD106" s="4">
        <v>32.979999999999997</v>
      </c>
      <c r="AE106" s="4">
        <v>32.619999999999997</v>
      </c>
      <c r="AF106" s="4">
        <v>32.03</v>
      </c>
      <c r="AG106" s="4">
        <v>32</v>
      </c>
      <c r="AH106" s="4">
        <v>31.3</v>
      </c>
      <c r="AI106" s="4">
        <v>31.55</v>
      </c>
      <c r="AJ106" s="4">
        <v>31</v>
      </c>
      <c r="AK106" s="4">
        <v>31.64</v>
      </c>
      <c r="AL106" s="4">
        <v>33.24</v>
      </c>
      <c r="AM106" s="4">
        <v>32.96</v>
      </c>
      <c r="AN106" s="4">
        <v>34.380000000000003</v>
      </c>
      <c r="AO106" s="4">
        <v>34.04</v>
      </c>
      <c r="AP106" s="4">
        <v>34.4</v>
      </c>
      <c r="AQ106" s="4">
        <v>35.03</v>
      </c>
      <c r="AR106" s="4">
        <v>35.08</v>
      </c>
      <c r="AS106" s="4">
        <v>37.700000000000003</v>
      </c>
      <c r="AT106" s="4">
        <v>37.44</v>
      </c>
      <c r="AU106" s="4">
        <v>37.775000000000013</v>
      </c>
      <c r="AV106" s="4">
        <v>37.82</v>
      </c>
      <c r="AW106" s="4">
        <v>37.9</v>
      </c>
      <c r="AX106" s="4">
        <v>37.71</v>
      </c>
      <c r="AY106" s="12">
        <v>38.25</v>
      </c>
      <c r="AZ106" s="12">
        <v>39.04</v>
      </c>
      <c r="BA106" s="12">
        <v>38.19</v>
      </c>
      <c r="BB106" s="15">
        <v>38.6</v>
      </c>
      <c r="BC106" s="52">
        <v>39.799999999999997</v>
      </c>
      <c r="BD106" s="52">
        <v>40.590000000000003</v>
      </c>
      <c r="BE106" s="52">
        <v>40.49</v>
      </c>
      <c r="BF106" s="52">
        <v>40.520000000000003</v>
      </c>
      <c r="BG106" s="67">
        <v>40.5</v>
      </c>
      <c r="BH106" s="52">
        <v>40.28</v>
      </c>
      <c r="BI106" s="52">
        <v>40.33</v>
      </c>
      <c r="BJ106" s="52">
        <v>40.98</v>
      </c>
      <c r="BK106" s="52">
        <v>38.06</v>
      </c>
      <c r="BL106" s="52">
        <v>38.18</v>
      </c>
      <c r="BM106" s="52">
        <v>38.200000000000003</v>
      </c>
      <c r="BN106" s="52">
        <v>37.93</v>
      </c>
      <c r="BO106" s="52" cm="1">
        <f t="array" aca="1" ref="BO106" ca="1">_FV(EC106,"Preço")</f>
        <v>37.93</v>
      </c>
      <c r="BP106" s="69" t="s">
        <v>103</v>
      </c>
      <c r="BQ106" s="36" cm="1">
        <f t="array" aca="1" ref="BQ106" ca="1">_FV(EC106,"Média de volume",TRUE)</f>
        <v>1134420</v>
      </c>
      <c r="BR106" s="36">
        <v>1135500</v>
      </c>
      <c r="BS106" s="36" cm="1">
        <f t="array" aca="1" ref="BS106" ca="1">_FV(EC106,"Volume")</f>
        <v>1135500</v>
      </c>
      <c r="BT106" s="24" cm="1">
        <f t="array" aca="1" ref="BT106" ca="1">_FV(EC106,"Beta")</f>
        <v>0.64810000000000001</v>
      </c>
      <c r="BU106" s="71" cm="1">
        <f t="array" aca="1" ref="BU106" ca="1">_FV(EC106,"Variação (%)",TRUE)</f>
        <v>5.2760000000000003E-4</v>
      </c>
      <c r="BW106" s="17" cm="1">
        <f t="array" aca="1" ref="BW106" ca="1">_FV(EC106,"Baixo")</f>
        <v>37.93</v>
      </c>
      <c r="BX106" s="17" cm="1">
        <f t="array" aca="1" ref="BX106" ca="1">_FV(EC106,"Alto")</f>
        <v>38.51</v>
      </c>
      <c r="BY106" s="24"/>
      <c r="BZ106" s="63">
        <f ca="1">SQRT(22.5*(BO106/VLOOKUP(BP106,Fundamentus!A:U,3,FALSE))*(BO106/VLOOKUP(BP106,Fundamentus!A:U,4,FALSE)))</f>
        <v>44.216656567828622</v>
      </c>
      <c r="CB106" s="62">
        <f t="shared" ca="1" si="112"/>
        <v>0</v>
      </c>
      <c r="CC106" s="8"/>
      <c r="CD106" s="61">
        <f t="shared" si="113"/>
        <v>31</v>
      </c>
      <c r="CE106" s="61">
        <f t="shared" si="114"/>
        <v>40.98</v>
      </c>
      <c r="CF106" s="61">
        <f t="shared" si="115"/>
        <v>35.086439393939386</v>
      </c>
      <c r="CG106" s="14"/>
      <c r="CH106" s="35">
        <f t="shared" si="98"/>
        <v>35.681931838793346</v>
      </c>
      <c r="CI106" s="15">
        <f t="shared" si="116"/>
        <v>38</v>
      </c>
      <c r="CJ106" s="35">
        <f t="shared" si="99"/>
        <v>40.318068161206654</v>
      </c>
      <c r="CL106" s="14"/>
      <c r="CM106" s="17">
        <f t="shared" si="100"/>
        <v>22.313333333333333</v>
      </c>
      <c r="CN106" s="17">
        <f t="shared" si="101"/>
        <v>26.656666666666666</v>
      </c>
      <c r="CO106" s="17">
        <f t="shared" si="102"/>
        <v>32.293333333333329</v>
      </c>
      <c r="CP106" s="38">
        <f t="shared" si="117"/>
        <v>36.636666666666663</v>
      </c>
      <c r="CQ106" s="17">
        <f t="shared" si="103"/>
        <v>42.273333333333326</v>
      </c>
      <c r="CR106" s="17">
        <f t="shared" si="104"/>
        <v>46.61666666666666</v>
      </c>
      <c r="CS106" s="17">
        <f t="shared" si="105"/>
        <v>52.253333333333323</v>
      </c>
      <c r="CT106" s="2" cm="1">
        <f t="array" aca="1" ref="CT106" ca="1">MAX(_xlfn._xlws.FILTER(CM106:CS106,CM106:CS106&lt;BO106))</f>
        <v>36.636666666666663</v>
      </c>
      <c r="CU106" s="2" cm="1">
        <f t="array" aca="1" ref="CU106" ca="1">MIN(_xlfn._xlws.FILTER($CM106:$CS106,$CM106:$CS106&gt;BO106))</f>
        <v>42.273333333333326</v>
      </c>
      <c r="CV106" s="16">
        <f t="shared" ca="1" si="119"/>
        <v>0.15385315257938315</v>
      </c>
      <c r="CW106" s="20">
        <f t="shared" ca="1" si="120"/>
        <v>-7.6926576289691573E-2</v>
      </c>
      <c r="CX106" s="20">
        <f t="shared" ca="1" si="121"/>
        <v>-5.1284384193127718E-2</v>
      </c>
      <c r="CY106" s="20">
        <f t="shared" ca="1" si="122"/>
        <v>-3.077063051587663E-2</v>
      </c>
      <c r="CZ106" s="20">
        <f t="shared" ca="1" si="123"/>
        <v>-1.709479473104257E-2</v>
      </c>
      <c r="DA106" s="20">
        <f t="shared" ca="1" si="124"/>
        <v>-9.0501854458460672E-3</v>
      </c>
      <c r="DB106" s="20">
        <f t="shared" ca="1" si="125"/>
        <v>-4.6622167448297919E-3</v>
      </c>
      <c r="DC106" s="20">
        <f t="shared" ca="1" si="126"/>
        <v>-2.366971578144356E-3</v>
      </c>
      <c r="DD106" s="21">
        <f t="shared" ca="1" si="127"/>
        <v>2.366971578144356E-3</v>
      </c>
      <c r="DE106" s="21">
        <f t="shared" ca="1" si="128"/>
        <v>4.6622167448297919E-3</v>
      </c>
      <c r="DF106" s="21">
        <f t="shared" ca="1" si="129"/>
        <v>9.0501854458460672E-3</v>
      </c>
      <c r="DG106" s="21">
        <f t="shared" ca="1" si="130"/>
        <v>1.709479473104257E-2</v>
      </c>
      <c r="DH106" s="21">
        <f t="shared" ca="1" si="131"/>
        <v>3.077063051587663E-2</v>
      </c>
      <c r="DI106" s="21">
        <f t="shared" ca="1" si="132"/>
        <v>5.1284384193127718E-2</v>
      </c>
      <c r="DJ106" s="21">
        <f t="shared" ca="1" si="133"/>
        <v>7.6926576289691573E-2</v>
      </c>
      <c r="DL106" s="16" cm="1">
        <f t="array" aca="1" ref="DL106" ca="1">MAX(_xlfn._xlws.FILTER(CW106:DJ106,CW106:DJ106&lt;BU106))</f>
        <v>-2.366971578144356E-3</v>
      </c>
      <c r="DM106" s="16" cm="1">
        <f t="array" aca="1" ref="DM106" ca="1">MIN(_xlfn._xlws.FILTER(CW106:DJ106,CW106:DJ106&gt;BU106))</f>
        <v>2.366971578144356E-3</v>
      </c>
      <c r="DN106" s="2" cm="1">
        <f t="array" aca="1" ref="DN106" ca="1">_FV(EC106,"Fechamento anterior",TRUE)</f>
        <v>37.909999999999997</v>
      </c>
      <c r="DO106" s="28">
        <f t="shared" ca="1" si="106"/>
        <v>0.61144309696735843</v>
      </c>
      <c r="DP106" s="15">
        <f t="shared" ca="1" si="134"/>
        <v>37.820268107472543</v>
      </c>
      <c r="DQ106" s="15">
        <f t="shared" ca="1" si="135"/>
        <v>37.99973189252745</v>
      </c>
      <c r="DR106" s="9"/>
      <c r="DS106" s="9"/>
      <c r="DT106" s="9"/>
      <c r="DU106" s="89">
        <v>4.793028322440088E-3</v>
      </c>
      <c r="DV106" s="89">
        <f t="shared" ca="1" si="107"/>
        <v>4.733943156288712E-3</v>
      </c>
      <c r="DW106" s="72">
        <f t="shared" ca="1" si="108"/>
        <v>-3.0197558972365288E-2</v>
      </c>
      <c r="DX106" s="37"/>
      <c r="DY106" s="35">
        <f t="shared" si="118"/>
        <v>1.1590340806033255</v>
      </c>
      <c r="DZ106" s="56"/>
      <c r="EA106" s="56"/>
      <c r="EC106" s="2" t="e" vm="106">
        <v>#VALUE!</v>
      </c>
      <c r="EE106" s="10" cm="1">
        <f t="array" aca="1" ref="EE106" ca="1">_FV(EC106,"Ações em circulação",TRUE)</f>
        <v>1152254000</v>
      </c>
      <c r="EF106" s="18">
        <f>VLOOKUP(BP106,Fundamentus!A:U,5,FALSE)</f>
        <v>1.0289999999999999</v>
      </c>
      <c r="EG106" s="2">
        <f t="shared" ca="1" si="109"/>
        <v>42473269407.191452</v>
      </c>
      <c r="EH106" s="17">
        <v>5538514330.6977644</v>
      </c>
      <c r="EI106" s="17">
        <f t="shared" ca="1" si="110"/>
        <v>5538514330.6977644</v>
      </c>
      <c r="EK106" s="16">
        <f t="shared" ca="1" si="97"/>
        <v>0</v>
      </c>
      <c r="EL106" s="32" t="str">
        <f>IF(VLOOKUP(BP106,Fundamentus!A:U,3,FALSE)&lt;15,"Bom",IF(VLOOKUP(BP106,Fundamentus!A:U,3,FALSE)&gt;15,"Ruim","n/a"))</f>
        <v>Bom</v>
      </c>
      <c r="EM106" s="28" t="str">
        <f>IF(VLOOKUP(BP106,Fundamentus!A:U,4,FALSE)&lt;1,"Baixo",IF(VLOOKUP(BP106,Fundamentus!A:U,4,FALSE)&lt;1.5,"Moderado",IF(VLOOKUP(BP106,Fundamentus!A:U,4,FALSE)&gt;1.5,"Alto","n/a")))</f>
        <v>Alto</v>
      </c>
      <c r="EN106" s="17" t="str">
        <f>IF(VLOOKUP(BP106,Fundamentus!A:U,8,FALSE)&lt;0,"Risco elevado",IF(VLOOKUP(BP106,Fundamentus!A:U,8,FALSE)&lt;1,"Saudável",IF(VLOOKUP(BP106,Fundamentus!A:U,8,FALSE)&lt;3,"Estável",IF(VLOOKUP(BP106,Fundamentus!A:U,8,FALSE)&gt;3,"Alerta","n/a"))))</f>
        <v>Risco elevado</v>
      </c>
      <c r="EO106" s="28" t="str">
        <f t="shared" si="111"/>
        <v>Bom</v>
      </c>
      <c r="EP106" s="17" t="str">
        <f>IF(VLOOKUP(BP106,Fundamentus!A:U,12,FALSE)&lt;2,"Subvalorizada",IF(VLOOKUP(BP106,Fundamentus!A:U,12,FALSE)&lt;6,"Muita barata",IF(VLOOKUP(BP106,Fundamentus!A:U,12,FALSE)&lt;6,"Barata",IF(VLOOKUP(BP106,Fundamentus!A:U,12,FALSE)&lt;8,"Atrativa",IF(VLOOKUP(BP106,Fundamentus!A:U,12,FALSE)&gt;8,"Supervalorizada","n/a")))))</f>
        <v>Muita barata</v>
      </c>
      <c r="ER106" s="17" t="str">
        <f>IF(VLOOKUP(BP106,Fundamentus!A:U,17,FALSE)&lt;0.1,"Fraco retorno",IF(VLOOKUP(BP106,Fundamentus!A:U,17,FALSE)&gt;0.1,"Bom retorno","n/a"))</f>
        <v>Bom retorno</v>
      </c>
      <c r="ES106" s="17" t="str">
        <f>IF(VLOOKUP(BP106,Fundamentus!A:U,16,FALSE)&lt;0.1,"Ineficiente",IF(VLOOKUP(BP106,Fundamentus!A:U,16,FALSE)&gt;0.1,"Eficiente","n/a"))</f>
        <v>Eficiente</v>
      </c>
      <c r="ET106" s="33" t="str">
        <f>IF(VLOOKUP(BP106,Fundamentus!A:U,16,FALSE)&lt;0.1,"Oper. Ineficiente",IF(VLOOKUP(BP106,Fundamentus!A:U,16,FALSE)&gt;0.1,"Oper.Eficiente","n/a"))</f>
        <v>Oper.Eficiente</v>
      </c>
      <c r="EU106" s="34">
        <f>VLOOKUP(BP106,Fundamentus!A:U,14,FALSE)</f>
        <v>0.13039999999999999</v>
      </c>
      <c r="EV106" s="17" t="str">
        <f>IF(VLOOKUP(BP106,Fundamentus!A:U,21,FALSE)&lt;0,"Negativo",IF(VLOOKUP(BP106,Fundamentus!A:U,21,FALSE)&lt;0.05,"Fraco",IF(VLOOKUP(BP106,Fundamentus!A:U,21,FALSE)&lt;0.1,"Bom",IF(VLOOKUP(BP106,Fundamentus!A:U,21,FALSE)&gt;0.1,"Muito bom","n/a"))))</f>
        <v>Bom</v>
      </c>
      <c r="EX106" s="29" t="str">
        <f>IF(VLOOKUP(BP106,Fundamentus!A:U,15,FALSE)&gt;1,"Bom",IF(VLOOKUP(BP106,Fundamentus!A:U,15,FALSE)&lt;1,"Ruim","n/a"))</f>
        <v>Ruim</v>
      </c>
      <c r="EY106" s="17" t="str">
        <f>IF(VLOOKUP(BP106,Fundamentus!A:U,20,FALSE)&lt;0.5,"Baixa",IF(VLOOKUP(BP106,Fundamentus!A:U,20,FALSE)&lt;1,"Moderada",IF(VLOOKUP(BP106,Fundamentus!A:U,20,FALSE)&lt;2,"Alerta",IF(VLOOKUP(BP106,Fundamentus!A:U,20,FALSE)&gt;2,"Alta","n/a"))))</f>
        <v>Alerta</v>
      </c>
      <c r="EZ106" s="10"/>
    </row>
    <row r="107" spans="1:156" s="2" customFormat="1" ht="11.25" x14ac:dyDescent="0.2">
      <c r="A107" s="4">
        <v>80.8</v>
      </c>
      <c r="B107" s="4">
        <v>79.239999999999995</v>
      </c>
      <c r="C107" s="4">
        <v>78.56</v>
      </c>
      <c r="D107" s="4">
        <v>75.209999999999994</v>
      </c>
      <c r="E107" s="4">
        <v>73.86</v>
      </c>
      <c r="F107" s="4">
        <v>74.25</v>
      </c>
      <c r="G107" s="4">
        <v>75</v>
      </c>
      <c r="H107" s="4">
        <v>74.849999999999994</v>
      </c>
      <c r="I107" s="4">
        <v>74</v>
      </c>
      <c r="J107" s="4">
        <v>82.08</v>
      </c>
      <c r="K107" s="4">
        <v>83.15</v>
      </c>
      <c r="L107" s="4">
        <v>84.9</v>
      </c>
      <c r="M107" s="4">
        <v>86.8</v>
      </c>
      <c r="N107" s="4">
        <v>89.31</v>
      </c>
      <c r="O107" s="4">
        <v>97.33</v>
      </c>
      <c r="P107" s="4">
        <v>98.7</v>
      </c>
      <c r="Q107" s="4">
        <v>96.8</v>
      </c>
      <c r="R107" s="4">
        <v>94.73</v>
      </c>
      <c r="S107" s="4">
        <v>94.75</v>
      </c>
      <c r="T107" s="4">
        <v>94.53</v>
      </c>
      <c r="U107" s="4">
        <v>94.66</v>
      </c>
      <c r="V107" s="4">
        <v>90.08</v>
      </c>
      <c r="W107" s="4">
        <v>88.12</v>
      </c>
      <c r="X107" s="4">
        <v>88.1</v>
      </c>
      <c r="Y107" s="4">
        <v>90.98</v>
      </c>
      <c r="Z107" s="4">
        <v>91.3</v>
      </c>
      <c r="AA107" s="4">
        <v>89.39</v>
      </c>
      <c r="AB107" s="4">
        <v>89</v>
      </c>
      <c r="AC107" s="4">
        <v>96.31</v>
      </c>
      <c r="AD107" s="4">
        <v>98.03</v>
      </c>
      <c r="AE107" s="4">
        <v>92.98</v>
      </c>
      <c r="AF107" s="4">
        <v>91.06</v>
      </c>
      <c r="AG107" s="4">
        <v>89.41</v>
      </c>
      <c r="AH107" s="4">
        <v>88.4</v>
      </c>
      <c r="AI107" s="4">
        <v>88.29</v>
      </c>
      <c r="AJ107" s="4">
        <v>86.91</v>
      </c>
      <c r="AK107" s="4">
        <v>87.59</v>
      </c>
      <c r="AL107" s="4">
        <v>93</v>
      </c>
      <c r="AM107" s="4">
        <v>92.8</v>
      </c>
      <c r="AN107" s="4">
        <v>94.57</v>
      </c>
      <c r="AO107" s="4">
        <v>96.51</v>
      </c>
      <c r="AP107" s="4">
        <v>101.6</v>
      </c>
      <c r="AQ107" s="4">
        <v>98.55</v>
      </c>
      <c r="AR107" s="4">
        <v>94.98</v>
      </c>
      <c r="AS107" s="4">
        <v>96.19</v>
      </c>
      <c r="AT107" s="4">
        <v>99.3</v>
      </c>
      <c r="AU107" s="4">
        <v>101.175</v>
      </c>
      <c r="AV107" s="4">
        <v>102.98</v>
      </c>
      <c r="AW107" s="4">
        <v>103.4</v>
      </c>
      <c r="AX107" s="4">
        <v>107.02</v>
      </c>
      <c r="AY107" s="12">
        <v>109.01</v>
      </c>
      <c r="AZ107" s="12">
        <v>115.38</v>
      </c>
      <c r="BA107" s="12">
        <v>113.89</v>
      </c>
      <c r="BB107" s="15">
        <v>116.21</v>
      </c>
      <c r="BC107" s="52">
        <v>116</v>
      </c>
      <c r="BD107" s="52">
        <v>117.06</v>
      </c>
      <c r="BE107" s="52">
        <v>117.38</v>
      </c>
      <c r="BF107" s="52">
        <v>114.96</v>
      </c>
      <c r="BG107" s="67">
        <v>115.11</v>
      </c>
      <c r="BH107" s="52">
        <v>115.65</v>
      </c>
      <c r="BI107" s="52">
        <v>115.05</v>
      </c>
      <c r="BJ107" s="52">
        <v>117.82</v>
      </c>
      <c r="BK107" s="52">
        <v>111.63</v>
      </c>
      <c r="BL107" s="52">
        <v>110.68</v>
      </c>
      <c r="BM107" s="52">
        <v>107.45</v>
      </c>
      <c r="BN107" s="52">
        <v>108.87</v>
      </c>
      <c r="BO107" s="52" cm="1">
        <f t="array" aca="1" ref="BO107" ca="1">_FV(EC107,"Preço")</f>
        <v>108.87</v>
      </c>
      <c r="BP107" s="69" t="s">
        <v>104</v>
      </c>
      <c r="BQ107" s="36" cm="1">
        <f t="array" aca="1" ref="BQ107" ca="1">_FV(EC107,"Média de volume",TRUE)</f>
        <v>2407900</v>
      </c>
      <c r="BR107" s="36">
        <v>4034800</v>
      </c>
      <c r="BS107" s="36" cm="1">
        <f t="array" aca="1" ref="BS107" ca="1">_FV(EC107,"Volume")</f>
        <v>4034800</v>
      </c>
      <c r="BT107" s="24" cm="1">
        <f t="array" aca="1" ref="BT107" ca="1">_FV(EC107,"Beta")</f>
        <v>0.83750000000000002</v>
      </c>
      <c r="BU107" s="71" cm="1">
        <f t="array" aca="1" ref="BU107" ca="1">_FV(EC107,"Variação (%)",TRUE)</f>
        <v>5.1700000000000001E-3</v>
      </c>
      <c r="BW107" s="17" cm="1">
        <f t="array" aca="1" ref="BW107" ca="1">_FV(EC107,"Baixo")</f>
        <v>108.14</v>
      </c>
      <c r="BX107" s="17" cm="1">
        <f t="array" aca="1" ref="BX107" ca="1">_FV(EC107,"Alto")</f>
        <v>111.3</v>
      </c>
      <c r="BY107" s="24"/>
      <c r="BZ107" s="63">
        <f ca="1">SQRT(22.5*(BO107/VLOOKUP(BP107,Fundamentus!A:U,3,FALSE))*(BO107/VLOOKUP(BP107,Fundamentus!A:U,4,FALSE)))</f>
        <v>135.16282644454984</v>
      </c>
      <c r="CB107" s="62">
        <f t="shared" ca="1" si="112"/>
        <v>0</v>
      </c>
      <c r="CC107" s="8"/>
      <c r="CD107" s="61">
        <f t="shared" si="113"/>
        <v>73.86</v>
      </c>
      <c r="CE107" s="61">
        <f t="shared" si="114"/>
        <v>117.82</v>
      </c>
      <c r="CF107" s="61">
        <f t="shared" si="115"/>
        <v>95.96492424242426</v>
      </c>
      <c r="CG107" s="14"/>
      <c r="CH107" s="35">
        <f t="shared" si="98"/>
        <v>99.639658271483739</v>
      </c>
      <c r="CI107" s="15">
        <f t="shared" si="116"/>
        <v>106.78000000000065</v>
      </c>
      <c r="CJ107" s="35">
        <f t="shared" si="99"/>
        <v>113.92034172851757</v>
      </c>
      <c r="CL107" s="14"/>
      <c r="CM107" s="17">
        <f t="shared" si="100"/>
        <v>38.586666666666687</v>
      </c>
      <c r="CN107" s="17">
        <f t="shared" si="101"/>
        <v>56.223333333333343</v>
      </c>
      <c r="CO107" s="17">
        <f t="shared" si="102"/>
        <v>82.546666666666681</v>
      </c>
      <c r="CP107" s="38">
        <f t="shared" si="117"/>
        <v>100.18333333333334</v>
      </c>
      <c r="CQ107" s="17">
        <f t="shared" si="103"/>
        <v>126.50666666666667</v>
      </c>
      <c r="CR107" s="17">
        <f t="shared" si="104"/>
        <v>144.14333333333332</v>
      </c>
      <c r="CS107" s="17">
        <f t="shared" si="105"/>
        <v>170.46666666666667</v>
      </c>
      <c r="CT107" s="2" cm="1">
        <f t="array" aca="1" ref="CT107" ca="1">MAX(_xlfn._xlws.FILTER(CM107:CS107,CM107:CS107&lt;BO107))</f>
        <v>100.18333333333334</v>
      </c>
      <c r="CU107" s="2" cm="1">
        <f t="array" aca="1" ref="CU107" ca="1">MIN(_xlfn._xlws.FILTER($CM107:$CS107,$CM107:$CS107&gt;BO107))</f>
        <v>126.50666666666667</v>
      </c>
      <c r="CV107" s="16">
        <f t="shared" ca="1" si="119"/>
        <v>0.2627516220262851</v>
      </c>
      <c r="CW107" s="20">
        <f t="shared" ca="1" si="120"/>
        <v>-0.13137581101314255</v>
      </c>
      <c r="CX107" s="20">
        <f t="shared" ca="1" si="121"/>
        <v>-8.7583874008761706E-2</v>
      </c>
      <c r="CY107" s="20">
        <f t="shared" ca="1" si="122"/>
        <v>-5.2550324405257018E-2</v>
      </c>
      <c r="CZ107" s="20">
        <f t="shared" ca="1" si="123"/>
        <v>-2.9194624669587235E-2</v>
      </c>
      <c r="DA107" s="20">
        <f t="shared" ca="1" si="124"/>
        <v>-1.5455977766252064E-2</v>
      </c>
      <c r="DB107" s="20">
        <f t="shared" ca="1" si="125"/>
        <v>-7.9621703644328825E-3</v>
      </c>
      <c r="DC107" s="20">
        <f t="shared" ca="1" si="126"/>
        <v>-4.0423326465582323E-3</v>
      </c>
      <c r="DD107" s="21">
        <f t="shared" ca="1" si="127"/>
        <v>4.0423326465582323E-3</v>
      </c>
      <c r="DE107" s="21">
        <f t="shared" ca="1" si="128"/>
        <v>7.9621703644328825E-3</v>
      </c>
      <c r="DF107" s="21">
        <f t="shared" ca="1" si="129"/>
        <v>1.5455977766252064E-2</v>
      </c>
      <c r="DG107" s="21">
        <f t="shared" ca="1" si="130"/>
        <v>2.9194624669587235E-2</v>
      </c>
      <c r="DH107" s="21">
        <f t="shared" ca="1" si="131"/>
        <v>5.2550324405257018E-2</v>
      </c>
      <c r="DI107" s="21">
        <f t="shared" ca="1" si="132"/>
        <v>8.7583874008761706E-2</v>
      </c>
      <c r="DJ107" s="21">
        <f t="shared" ca="1" si="133"/>
        <v>0.13137581101314255</v>
      </c>
      <c r="DL107" s="16" cm="1">
        <f t="array" aca="1" ref="DL107" ca="1">MAX(_xlfn._xlws.FILTER(CW107:DJ107,CW107:DJ107&lt;BU107))</f>
        <v>4.0423326465582323E-3</v>
      </c>
      <c r="DM107" s="16" cm="1">
        <f t="array" aca="1" ref="DM107" ca="1">MIN(_xlfn._xlws.FILTER(CW107:DJ107,CW107:DJ107&gt;BU107))</f>
        <v>7.9621703644328825E-3</v>
      </c>
      <c r="DN107" s="2" cm="1">
        <f t="array" aca="1" ref="DN107" ca="1">_FV(EC107,"Fechamento anterior",TRUE)</f>
        <v>108.31</v>
      </c>
      <c r="DO107" s="28">
        <f t="shared" ca="1" si="106"/>
        <v>0.28777000898911353</v>
      </c>
      <c r="DP107" s="15">
        <f t="shared" ca="1" si="134"/>
        <v>108.74782504894873</v>
      </c>
      <c r="DQ107" s="15">
        <f t="shared" ca="1" si="135"/>
        <v>109.17238267217172</v>
      </c>
      <c r="DR107" s="9"/>
      <c r="DS107" s="9"/>
      <c r="DT107" s="9"/>
      <c r="DU107" s="89">
        <v>7.6196782577178379E-3</v>
      </c>
      <c r="DV107" s="89">
        <f t="shared" ca="1" si="107"/>
        <v>3.9198377178746502E-3</v>
      </c>
      <c r="DW107" s="72">
        <f t="shared" ca="1" si="108"/>
        <v>0.29270307773259097</v>
      </c>
      <c r="DX107" s="37"/>
      <c r="DY107" s="35">
        <f t="shared" si="118"/>
        <v>3.570170864258456</v>
      </c>
      <c r="DZ107" s="56"/>
      <c r="EA107" s="56"/>
      <c r="EC107" s="2" t="e" vm="107">
        <v>#VALUE!</v>
      </c>
      <c r="EE107" s="10" cm="1">
        <f t="array" aca="1" ref="EE107" ca="1">_FV(EC107,"Ações em circulação",TRUE)</f>
        <v>683509900</v>
      </c>
      <c r="EF107" s="18">
        <f>VLOOKUP(BP107,Fundamentus!A:U,5,FALSE)</f>
        <v>1.9950000000000001</v>
      </c>
      <c r="EG107" s="2">
        <f t="shared" ca="1" si="109"/>
        <v>37300111685.714287</v>
      </c>
      <c r="EH107" s="17">
        <v>10048650088.131428</v>
      </c>
      <c r="EI107" s="17">
        <f t="shared" ca="1" si="110"/>
        <v>10048650088.131428</v>
      </c>
      <c r="EK107" s="16">
        <f t="shared" ca="1" si="97"/>
        <v>0</v>
      </c>
      <c r="EL107" s="32" t="str">
        <f>IF(VLOOKUP(BP107,Fundamentus!A:U,3,FALSE)&lt;15,"Bom",IF(VLOOKUP(BP107,Fundamentus!A:U,3,FALSE)&gt;15,"Ruim","n/a"))</f>
        <v>Bom</v>
      </c>
      <c r="EM107" s="28" t="str">
        <f>IF(VLOOKUP(BP107,Fundamentus!A:U,4,FALSE)&lt;1,"Baixo",IF(VLOOKUP(BP107,Fundamentus!A:U,4,FALSE)&lt;1.5,"Moderado",IF(VLOOKUP(BP107,Fundamentus!A:U,4,FALSE)&gt;1.5,"Alto","n/a")))</f>
        <v>Alto</v>
      </c>
      <c r="EN107" s="17" t="str">
        <f>IF(VLOOKUP(BP107,Fundamentus!A:U,8,FALSE)&lt;0,"Risco elevado",IF(VLOOKUP(BP107,Fundamentus!A:U,8,FALSE)&lt;1,"Saudável",IF(VLOOKUP(BP107,Fundamentus!A:U,8,FALSE)&lt;3,"Estável",IF(VLOOKUP(BP107,Fundamentus!A:U,8,FALSE)&gt;3,"Alerta","n/a"))))</f>
        <v>Alerta</v>
      </c>
      <c r="EO107" s="28" t="str">
        <f t="shared" si="111"/>
        <v>Bom</v>
      </c>
      <c r="EP107" s="17" t="str">
        <f>IF(VLOOKUP(BP107,Fundamentus!A:U,12,FALSE)&lt;2,"Subvalorizada",IF(VLOOKUP(BP107,Fundamentus!A:U,12,FALSE)&lt;6,"Muita barata",IF(VLOOKUP(BP107,Fundamentus!A:U,12,FALSE)&lt;6,"Barata",IF(VLOOKUP(BP107,Fundamentus!A:U,12,FALSE)&lt;8,"Atrativa",IF(VLOOKUP(BP107,Fundamentus!A:U,12,FALSE)&gt;8,"Supervalorizada","n/a")))))</f>
        <v>Muita barata</v>
      </c>
      <c r="ER107" s="17" t="str">
        <f>IF(VLOOKUP(BP107,Fundamentus!A:U,17,FALSE)&lt;0.1,"Fraco retorno",IF(VLOOKUP(BP107,Fundamentus!A:U,17,FALSE)&gt;0.1,"Bom retorno","n/a"))</f>
        <v>Bom retorno</v>
      </c>
      <c r="ES107" s="17" t="str">
        <f>IF(VLOOKUP(BP107,Fundamentus!A:U,16,FALSE)&lt;0.1,"Ineficiente",IF(VLOOKUP(BP107,Fundamentus!A:U,16,FALSE)&gt;0.1,"Eficiente","n/a"))</f>
        <v>Eficiente</v>
      </c>
      <c r="ET107" s="33" t="str">
        <f>IF(VLOOKUP(BP107,Fundamentus!A:U,16,FALSE)&lt;0.1,"Oper. Ineficiente",IF(VLOOKUP(BP107,Fundamentus!A:U,16,FALSE)&gt;0.1,"Oper.Eficiente","n/a"))</f>
        <v>Oper.Eficiente</v>
      </c>
      <c r="EU107" s="34">
        <f>VLOOKUP(BP107,Fundamentus!A:U,14,FALSE)</f>
        <v>0.26939999999999997</v>
      </c>
      <c r="EV107" s="17" t="str">
        <f>IF(VLOOKUP(BP107,Fundamentus!A:U,21,FALSE)&lt;0,"Negativo",IF(VLOOKUP(BP107,Fundamentus!A:U,21,FALSE)&lt;0.05,"Fraco",IF(VLOOKUP(BP107,Fundamentus!A:U,21,FALSE)&lt;0.1,"Bom",IF(VLOOKUP(BP107,Fundamentus!A:U,21,FALSE)&gt;0.1,"Muito bom","n/a"))))</f>
        <v>Muito bom</v>
      </c>
      <c r="EX107" s="29" t="str">
        <f>IF(VLOOKUP(BP107,Fundamentus!A:U,15,FALSE)&gt;1,"Bom",IF(VLOOKUP(BP107,Fundamentus!A:U,15,FALSE)&lt;1,"Ruim","n/a"))</f>
        <v>Bom</v>
      </c>
      <c r="EY107" s="17" t="str">
        <f>IF(VLOOKUP(BP107,Fundamentus!A:U,20,FALSE)&lt;0.5,"Baixa",IF(VLOOKUP(BP107,Fundamentus!A:U,20,FALSE)&lt;1,"Moderada",IF(VLOOKUP(BP107,Fundamentus!A:U,20,FALSE)&lt;2,"Alerta",IF(VLOOKUP(BP107,Fundamentus!A:U,20,FALSE)&gt;2,"Alta","n/a"))))</f>
        <v>Moderada</v>
      </c>
      <c r="EZ107" s="10"/>
    </row>
    <row r="108" spans="1:156" s="2" customFormat="1" ht="11.25" x14ac:dyDescent="0.2">
      <c r="A108" s="4">
        <v>18.149999999999999</v>
      </c>
      <c r="B108" s="4">
        <v>18.8</v>
      </c>
      <c r="C108" s="4">
        <v>17.2</v>
      </c>
      <c r="D108" s="4">
        <v>16.53</v>
      </c>
      <c r="E108" s="4">
        <v>16.329999999999998</v>
      </c>
      <c r="F108" s="4">
        <v>15</v>
      </c>
      <c r="G108" s="4">
        <v>14.59</v>
      </c>
      <c r="H108" s="4">
        <v>14.39</v>
      </c>
      <c r="I108" s="4">
        <v>14.8</v>
      </c>
      <c r="J108" s="4">
        <v>15.12</v>
      </c>
      <c r="K108" s="4">
        <v>15.51</v>
      </c>
      <c r="L108" s="4">
        <v>15.39</v>
      </c>
      <c r="M108" s="4">
        <v>15.27</v>
      </c>
      <c r="N108" s="4">
        <v>14.9</v>
      </c>
      <c r="O108" s="4">
        <v>13.92</v>
      </c>
      <c r="P108" s="4">
        <v>13.71</v>
      </c>
      <c r="Q108" s="4">
        <v>13.33</v>
      </c>
      <c r="R108" s="4">
        <v>12.85</v>
      </c>
      <c r="S108" s="4">
        <v>12.6</v>
      </c>
      <c r="T108" s="4">
        <v>12.85</v>
      </c>
      <c r="U108" s="4">
        <v>12.02</v>
      </c>
      <c r="V108" s="4">
        <v>12</v>
      </c>
      <c r="W108" s="4">
        <v>11.98</v>
      </c>
      <c r="X108" s="4">
        <v>12.25</v>
      </c>
      <c r="Y108" s="4">
        <v>11.78</v>
      </c>
      <c r="Z108" s="4">
        <v>12.14</v>
      </c>
      <c r="AA108" s="4">
        <v>12.21</v>
      </c>
      <c r="AB108" s="4">
        <v>12.27</v>
      </c>
      <c r="AC108" s="4">
        <v>11.63</v>
      </c>
      <c r="AD108" s="4">
        <v>11.75</v>
      </c>
      <c r="AE108" s="4">
        <v>11.24</v>
      </c>
      <c r="AF108" s="4">
        <v>10.68</v>
      </c>
      <c r="AG108" s="4">
        <v>10.48</v>
      </c>
      <c r="AH108" s="4">
        <v>10.41</v>
      </c>
      <c r="AI108" s="4">
        <v>10.199999999999999</v>
      </c>
      <c r="AJ108" s="4">
        <v>9.8699999999999992</v>
      </c>
      <c r="AK108" s="4">
        <v>10.35</v>
      </c>
      <c r="AL108" s="4">
        <v>10.199999999999999</v>
      </c>
      <c r="AM108" s="4">
        <v>10.15</v>
      </c>
      <c r="AN108" s="4">
        <v>10.77</v>
      </c>
      <c r="AO108" s="4">
        <v>10.06</v>
      </c>
      <c r="AP108" s="4">
        <v>10.99</v>
      </c>
      <c r="AQ108" s="4">
        <v>10.56</v>
      </c>
      <c r="AR108" s="4">
        <v>10.029999999999999</v>
      </c>
      <c r="AS108" s="4">
        <v>10.5</v>
      </c>
      <c r="AT108" s="4">
        <v>10.32</v>
      </c>
      <c r="AU108" s="4">
        <v>10.715</v>
      </c>
      <c r="AV108" s="4">
        <v>10.55</v>
      </c>
      <c r="AW108" s="4">
        <v>10.18</v>
      </c>
      <c r="AX108" s="4">
        <v>9.9499999999999993</v>
      </c>
      <c r="AY108" s="12">
        <v>10.45</v>
      </c>
      <c r="AZ108" s="12">
        <v>10.69</v>
      </c>
      <c r="BA108" s="12">
        <v>10.33</v>
      </c>
      <c r="BB108" s="15">
        <v>10.29</v>
      </c>
      <c r="BC108" s="52">
        <v>12.05</v>
      </c>
      <c r="BD108" s="52">
        <v>11.7</v>
      </c>
      <c r="BE108" s="52">
        <v>11.2</v>
      </c>
      <c r="BF108" s="52">
        <v>11.33</v>
      </c>
      <c r="BG108" s="67">
        <v>11.42</v>
      </c>
      <c r="BH108" s="52">
        <v>11.53</v>
      </c>
      <c r="BI108" s="52">
        <v>11.42</v>
      </c>
      <c r="BJ108" s="52">
        <v>11.57</v>
      </c>
      <c r="BK108" s="52">
        <v>11.17</v>
      </c>
      <c r="BL108" s="52">
        <v>10.27</v>
      </c>
      <c r="BM108" s="52">
        <v>10.5</v>
      </c>
      <c r="BN108" s="52">
        <v>10.36</v>
      </c>
      <c r="BO108" s="52" cm="1">
        <f t="array" aca="1" ref="BO108" ca="1">_FV(EC108,"Preço")</f>
        <v>10.36</v>
      </c>
      <c r="BP108" s="69" t="s">
        <v>105</v>
      </c>
      <c r="BQ108" s="36" cm="1">
        <f t="array" aca="1" ref="BQ108" ca="1">_FV(EC108,"Média de volume",TRUE)</f>
        <v>334400</v>
      </c>
      <c r="BR108" s="36">
        <v>404700</v>
      </c>
      <c r="BS108" s="36" cm="1">
        <f t="array" aca="1" ref="BS108" ca="1">_FV(EC108,"Volume")</f>
        <v>404700</v>
      </c>
      <c r="BT108" s="24" cm="1">
        <f t="array" aca="1" ref="BT108" ca="1">_FV(EC108,"Beta")</f>
        <v>0.65269999999999995</v>
      </c>
      <c r="BU108" s="71" cm="1">
        <f t="array" aca="1" ref="BU108" ca="1">_FV(EC108,"Variação (%)",TRUE)</f>
        <v>0</v>
      </c>
      <c r="BW108" s="17" cm="1">
        <f t="array" aca="1" ref="BW108" ca="1">_FV(EC108,"Baixo")</f>
        <v>10.24</v>
      </c>
      <c r="BX108" s="17" cm="1">
        <f t="array" aca="1" ref="BX108" ca="1">_FV(EC108,"Alto")</f>
        <v>10.53</v>
      </c>
      <c r="BY108" s="24"/>
      <c r="BZ108" s="63">
        <f ca="1">SQRT(22.5*(BO108/VLOOKUP(BP108,Fundamentus!A:U,3,FALSE))*(BO108/VLOOKUP(BP108,Fundamentus!A:U,4,FALSE)))</f>
        <v>12.644179415382451</v>
      </c>
      <c r="CB108" s="62">
        <f t="shared" ca="1" si="112"/>
        <v>0</v>
      </c>
      <c r="CC108" s="8"/>
      <c r="CD108" s="61">
        <f t="shared" si="113"/>
        <v>9.8699999999999992</v>
      </c>
      <c r="CE108" s="61">
        <f t="shared" si="114"/>
        <v>18.8</v>
      </c>
      <c r="CF108" s="61">
        <f t="shared" si="115"/>
        <v>12.208409090909091</v>
      </c>
      <c r="CG108" s="14"/>
      <c r="CH108" s="35">
        <f t="shared" si="98"/>
        <v>9.0087638069819516</v>
      </c>
      <c r="CI108" s="15">
        <f t="shared" si="116"/>
        <v>10.025000000000091</v>
      </c>
      <c r="CJ108" s="35">
        <f t="shared" si="99"/>
        <v>11.04123619301823</v>
      </c>
      <c r="CL108" s="14"/>
      <c r="CM108" s="17">
        <f t="shared" si="100"/>
        <v>-1.7100000000000026</v>
      </c>
      <c r="CN108" s="17">
        <f t="shared" si="101"/>
        <v>4.0799999999999983</v>
      </c>
      <c r="CO108" s="17">
        <f t="shared" si="102"/>
        <v>7.2199999999999989</v>
      </c>
      <c r="CP108" s="38">
        <f t="shared" si="117"/>
        <v>13.01</v>
      </c>
      <c r="CQ108" s="17">
        <f t="shared" si="103"/>
        <v>16.149999999999999</v>
      </c>
      <c r="CR108" s="17">
        <f t="shared" si="104"/>
        <v>21.94</v>
      </c>
      <c r="CS108" s="17">
        <f t="shared" si="105"/>
        <v>25.080000000000002</v>
      </c>
      <c r="CT108" s="2" cm="1">
        <f t="array" aca="1" ref="CT108" ca="1">MAX(_xlfn._xlws.FILTER(CM108:CS108,CM108:CS108&lt;BO108))</f>
        <v>7.2199999999999989</v>
      </c>
      <c r="CU108" s="2" cm="1">
        <f t="array" aca="1" ref="CU108" ca="1">MIN(_xlfn._xlws.FILTER($CM108:$CS108,$CM108:$CS108&gt;BO108))</f>
        <v>13.01</v>
      </c>
      <c r="CV108" s="16">
        <f t="shared" ca="1" si="119"/>
        <v>0.80193905817174538</v>
      </c>
      <c r="CW108" s="20">
        <f t="shared" ca="1" si="120"/>
        <v>-0.40096952908587269</v>
      </c>
      <c r="CX108" s="20">
        <f t="shared" ca="1" si="121"/>
        <v>-0.26731301939058177</v>
      </c>
      <c r="CY108" s="20">
        <f t="shared" ca="1" si="122"/>
        <v>-0.16038781163434906</v>
      </c>
      <c r="CZ108" s="20">
        <f t="shared" ca="1" si="123"/>
        <v>-8.9104339796860596E-2</v>
      </c>
      <c r="DA108" s="20">
        <f t="shared" ca="1" si="124"/>
        <v>-4.7172885774808548E-2</v>
      </c>
      <c r="DB108" s="20">
        <f t="shared" ca="1" si="125"/>
        <v>-2.430118358096198E-2</v>
      </c>
      <c r="DC108" s="20">
        <f t="shared" ca="1" si="126"/>
        <v>-1.2337523971873005E-2</v>
      </c>
      <c r="DD108" s="21">
        <f t="shared" ca="1" si="127"/>
        <v>1.2337523971873005E-2</v>
      </c>
      <c r="DE108" s="21">
        <f t="shared" ca="1" si="128"/>
        <v>2.430118358096198E-2</v>
      </c>
      <c r="DF108" s="21">
        <f t="shared" ca="1" si="129"/>
        <v>4.7172885774808548E-2</v>
      </c>
      <c r="DG108" s="21">
        <f t="shared" ca="1" si="130"/>
        <v>8.9104339796860596E-2</v>
      </c>
      <c r="DH108" s="21">
        <f t="shared" ca="1" si="131"/>
        <v>0.16038781163434906</v>
      </c>
      <c r="DI108" s="21">
        <f t="shared" ca="1" si="132"/>
        <v>0.26731301939058177</v>
      </c>
      <c r="DJ108" s="21">
        <f t="shared" ca="1" si="133"/>
        <v>0.40096952908587269</v>
      </c>
      <c r="DL108" s="16" cm="1">
        <f t="array" aca="1" ref="DL108" ca="1">MAX(_xlfn._xlws.FILTER(CW108:DJ108,CW108:DJ108&lt;BU108))</f>
        <v>-1.2337523971873005E-2</v>
      </c>
      <c r="DM108" s="16" cm="1">
        <f t="array" aca="1" ref="DM108" ca="1">MIN(_xlfn._xlws.FILTER(CW108:DJ108,CW108:DJ108&gt;BU108))</f>
        <v>1.2337523971873005E-2</v>
      </c>
      <c r="DN108" s="2" cm="1">
        <f t="array" aca="1" ref="DN108" ca="1">_FV(EC108,"Fechamento anterior",TRUE)</f>
        <v>10.36</v>
      </c>
      <c r="DO108" s="28">
        <f t="shared" ca="1" si="106"/>
        <v>0.5</v>
      </c>
      <c r="DP108" s="15">
        <f t="shared" ca="1" si="134"/>
        <v>10.232183251651396</v>
      </c>
      <c r="DQ108" s="15">
        <f t="shared" ca="1" si="135"/>
        <v>10.487816748348603</v>
      </c>
      <c r="DR108" s="9"/>
      <c r="DS108" s="9"/>
      <c r="DT108" s="9"/>
      <c r="DU108" s="89">
        <v>2.501074344649766E-2</v>
      </c>
      <c r="DV108" s="89">
        <f t="shared" ca="1" si="107"/>
        <v>2.467504794374601E-2</v>
      </c>
      <c r="DW108" s="72">
        <f t="shared" ca="1" si="108"/>
        <v>0.3296477750954584</v>
      </c>
      <c r="DX108" s="37"/>
      <c r="DY108" s="35">
        <f t="shared" si="118"/>
        <v>0.50811809650906969</v>
      </c>
      <c r="DZ108" s="56"/>
      <c r="EA108" s="56"/>
      <c r="EC108" s="2" t="e" vm="108">
        <v>#VALUE!</v>
      </c>
      <c r="EE108" s="10" cm="1">
        <f t="array" aca="1" ref="EE108" ca="1">_FV(EC108,"Ações em circulação",TRUE)</f>
        <v>135322100</v>
      </c>
      <c r="EF108" s="18">
        <f>VLOOKUP(BP108,Fundamentus!A:U,5,FALSE)</f>
        <v>0.749</v>
      </c>
      <c r="EG108" s="2">
        <f t="shared" ca="1" si="109"/>
        <v>1871744934.5794392</v>
      </c>
      <c r="EH108" s="17">
        <v>166398124.68411216</v>
      </c>
      <c r="EI108" s="17">
        <f t="shared" ca="1" si="110"/>
        <v>166398124.68411216</v>
      </c>
      <c r="EK108" s="16">
        <f t="shared" ca="1" si="97"/>
        <v>0</v>
      </c>
      <c r="EL108" s="32" t="str">
        <f>IF(VLOOKUP(BP108,Fundamentus!A:U,3,FALSE)&lt;15,"Bom",IF(VLOOKUP(BP108,Fundamentus!A:U,3,FALSE)&gt;15,"Ruim","n/a"))</f>
        <v>Bom</v>
      </c>
      <c r="EM108" s="28" t="str">
        <f>IF(VLOOKUP(BP108,Fundamentus!A:U,4,FALSE)&lt;1,"Baixo",IF(VLOOKUP(BP108,Fundamentus!A:U,4,FALSE)&lt;1.5,"Moderado",IF(VLOOKUP(BP108,Fundamentus!A:U,4,FALSE)&gt;1.5,"Alto","n/a")))</f>
        <v>Moderado</v>
      </c>
      <c r="EN108" s="17" t="str">
        <f>IF(VLOOKUP(BP108,Fundamentus!A:U,8,FALSE)&lt;0,"Risco elevado",IF(VLOOKUP(BP108,Fundamentus!A:U,8,FALSE)&lt;1,"Saudável",IF(VLOOKUP(BP108,Fundamentus!A:U,8,FALSE)&lt;3,"Estável",IF(VLOOKUP(BP108,Fundamentus!A:U,8,FALSE)&gt;3,"Alerta","n/a"))))</f>
        <v>Saudável</v>
      </c>
      <c r="EO108" s="28" t="str">
        <f t="shared" si="111"/>
        <v>Ruim</v>
      </c>
      <c r="EP108" s="17" t="str">
        <f>IF(VLOOKUP(BP108,Fundamentus!A:U,12,FALSE)&lt;2,"Subvalorizada",IF(VLOOKUP(BP108,Fundamentus!A:U,12,FALSE)&lt;6,"Muita barata",IF(VLOOKUP(BP108,Fundamentus!A:U,12,FALSE)&lt;6,"Barata",IF(VLOOKUP(BP108,Fundamentus!A:U,12,FALSE)&lt;8,"Atrativa",IF(VLOOKUP(BP108,Fundamentus!A:U,12,FALSE)&gt;8,"Supervalorizada","n/a")))))</f>
        <v>Atrativa</v>
      </c>
      <c r="ER108" s="17" t="str">
        <f>IF(VLOOKUP(BP108,Fundamentus!A:U,17,FALSE)&lt;0.1,"Fraco retorno",IF(VLOOKUP(BP108,Fundamentus!A:U,17,FALSE)&gt;0.1,"Bom retorno","n/a"))</f>
        <v>Fraco retorno</v>
      </c>
      <c r="ES108" s="17" t="str">
        <f>IF(VLOOKUP(BP108,Fundamentus!A:U,16,FALSE)&lt;0.1,"Ineficiente",IF(VLOOKUP(BP108,Fundamentus!A:U,16,FALSE)&gt;0.1,"Eficiente","n/a"))</f>
        <v>Ineficiente</v>
      </c>
      <c r="ET108" s="33" t="str">
        <f>IF(VLOOKUP(BP108,Fundamentus!A:U,16,FALSE)&lt;0.1,"Oper. Ineficiente",IF(VLOOKUP(BP108,Fundamentus!A:U,16,FALSE)&gt;0.1,"Oper.Eficiente","n/a"))</f>
        <v>Oper. Ineficiente</v>
      </c>
      <c r="EU108" s="34">
        <f>VLOOKUP(BP108,Fundamentus!A:U,14,FALSE)</f>
        <v>8.8900000000000007E-2</v>
      </c>
      <c r="EV108" s="17" t="str">
        <f>IF(VLOOKUP(BP108,Fundamentus!A:U,21,FALSE)&lt;0,"Negativo",IF(VLOOKUP(BP108,Fundamentus!A:U,21,FALSE)&lt;0.05,"Fraco",IF(VLOOKUP(BP108,Fundamentus!A:U,21,FALSE)&lt;0.1,"Bom",IF(VLOOKUP(BP108,Fundamentus!A:U,21,FALSE)&gt;0.1,"Muito bom","n/a"))))</f>
        <v>Muito bom</v>
      </c>
      <c r="EX108" s="29" t="str">
        <f>IF(VLOOKUP(BP108,Fundamentus!A:U,15,FALSE)&gt;1,"Bom",IF(VLOOKUP(BP108,Fundamentus!A:U,15,FALSE)&lt;1,"Ruim","n/a"))</f>
        <v>Bom</v>
      </c>
      <c r="EY108" s="17" t="str">
        <f>IF(VLOOKUP(BP108,Fundamentus!A:U,20,FALSE)&lt;0.5,"Baixa",IF(VLOOKUP(BP108,Fundamentus!A:U,20,FALSE)&lt;1,"Moderada",IF(VLOOKUP(BP108,Fundamentus!A:U,20,FALSE)&lt;2,"Alerta",IF(VLOOKUP(BP108,Fundamentus!A:U,20,FALSE)&gt;2,"Alta","n/a"))))</f>
        <v>Moderada</v>
      </c>
      <c r="EZ108" s="10"/>
    </row>
    <row r="109" spans="1:156" s="2" customFormat="1" ht="11.25" x14ac:dyDescent="0.2">
      <c r="A109" s="4">
        <v>7.6</v>
      </c>
      <c r="B109" s="4">
        <v>7.26</v>
      </c>
      <c r="C109" s="4">
        <v>7.14</v>
      </c>
      <c r="D109" s="4">
        <v>7.1</v>
      </c>
      <c r="E109" s="4">
        <v>6.97</v>
      </c>
      <c r="F109" s="4">
        <v>6.49</v>
      </c>
      <c r="G109" s="4">
        <v>6</v>
      </c>
      <c r="H109" s="4">
        <v>6.04</v>
      </c>
      <c r="I109" s="4">
        <v>5.95</v>
      </c>
      <c r="J109" s="4">
        <v>6.15</v>
      </c>
      <c r="K109" s="4">
        <v>6.27</v>
      </c>
      <c r="L109" s="4">
        <v>6.4</v>
      </c>
      <c r="M109" s="4">
        <v>6.66</v>
      </c>
      <c r="N109" s="4">
        <v>6.47</v>
      </c>
      <c r="O109" s="4">
        <v>6.41</v>
      </c>
      <c r="P109" s="4">
        <v>6.02</v>
      </c>
      <c r="Q109" s="4">
        <v>6.2</v>
      </c>
      <c r="R109" s="4">
        <v>7.26</v>
      </c>
      <c r="S109" s="4">
        <v>7.45</v>
      </c>
      <c r="T109" s="4">
        <v>7.35</v>
      </c>
      <c r="U109" s="4">
        <v>7.08</v>
      </c>
      <c r="V109" s="4">
        <v>6.66</v>
      </c>
      <c r="W109" s="4">
        <v>6.56</v>
      </c>
      <c r="X109" s="4">
        <v>6.54</v>
      </c>
      <c r="Y109" s="4">
        <v>6.5</v>
      </c>
      <c r="Z109" s="4">
        <v>6.35</v>
      </c>
      <c r="AA109" s="4">
        <v>6.29</v>
      </c>
      <c r="AB109" s="4">
        <v>6.8</v>
      </c>
      <c r="AC109" s="4">
        <v>6.32</v>
      </c>
      <c r="AD109" s="4">
        <v>6.49</v>
      </c>
      <c r="AE109" s="4">
        <v>6.18</v>
      </c>
      <c r="AF109" s="4">
        <v>6.1</v>
      </c>
      <c r="AG109" s="4">
        <v>6</v>
      </c>
      <c r="AH109" s="4">
        <v>5.7</v>
      </c>
      <c r="AI109" s="4">
        <v>5.96</v>
      </c>
      <c r="AJ109" s="4">
        <v>5.63</v>
      </c>
      <c r="AK109" s="4">
        <v>5.76</v>
      </c>
      <c r="AL109" s="4">
        <v>5.79</v>
      </c>
      <c r="AM109" s="4">
        <v>5.61</v>
      </c>
      <c r="AN109" s="4">
        <v>6.63</v>
      </c>
      <c r="AO109" s="4">
        <v>6.97</v>
      </c>
      <c r="AP109" s="4">
        <v>6.9</v>
      </c>
      <c r="AQ109" s="4">
        <v>7.4</v>
      </c>
      <c r="AR109" s="4">
        <v>7.39</v>
      </c>
      <c r="AS109" s="4">
        <v>7.5</v>
      </c>
      <c r="AT109" s="4">
        <v>7.43</v>
      </c>
      <c r="AU109" s="4">
        <v>7.4849999999999994</v>
      </c>
      <c r="AV109" s="4">
        <v>7.88</v>
      </c>
      <c r="AW109" s="4">
        <v>7.6</v>
      </c>
      <c r="AX109" s="4">
        <v>7</v>
      </c>
      <c r="AY109" s="12">
        <v>6.45</v>
      </c>
      <c r="AZ109" s="12">
        <v>6.07</v>
      </c>
      <c r="BA109" s="12">
        <v>5.7</v>
      </c>
      <c r="BB109" s="15">
        <v>5.3</v>
      </c>
      <c r="BC109" s="52">
        <v>5.04</v>
      </c>
      <c r="BD109" s="52">
        <v>4.74</v>
      </c>
      <c r="BE109" s="52">
        <v>4.66</v>
      </c>
      <c r="BF109" s="52">
        <v>4.57</v>
      </c>
      <c r="BG109" s="67">
        <v>4.88</v>
      </c>
      <c r="BH109" s="52">
        <v>4.9000000000000004</v>
      </c>
      <c r="BI109" s="52">
        <v>4.7300000000000004</v>
      </c>
      <c r="BJ109" s="52">
        <v>5.05</v>
      </c>
      <c r="BK109" s="52">
        <v>4.76</v>
      </c>
      <c r="BL109" s="52">
        <v>4.62</v>
      </c>
      <c r="BM109" s="52">
        <v>4.67</v>
      </c>
      <c r="BN109" s="52">
        <v>4.6100000000000003</v>
      </c>
      <c r="BO109" s="52" cm="1">
        <f t="array" aca="1" ref="BO109" ca="1">_FV(EC109,"Preço")</f>
        <v>4.6100000000000003</v>
      </c>
      <c r="BP109" s="69" t="s">
        <v>106</v>
      </c>
      <c r="BQ109" s="36" cm="1">
        <f t="array" aca="1" ref="BQ109" ca="1">_FV(EC109,"Média de volume",TRUE)</f>
        <v>6870</v>
      </c>
      <c r="BR109" s="36">
        <v>12000</v>
      </c>
      <c r="BS109" s="36" cm="1">
        <f t="array" aca="1" ref="BS109" ca="1">_FV(EC109,"Volume")</f>
        <v>12000</v>
      </c>
      <c r="BT109" s="24" cm="1">
        <f t="array" aca="1" ref="BT109" ca="1">_FV(EC109,"Beta")</f>
        <v>0.3664</v>
      </c>
      <c r="BU109" s="71" cm="1">
        <f t="array" aca="1" ref="BU109" ca="1">_FV(EC109,"Variação (%)",TRUE)</f>
        <v>-1.4957E-2</v>
      </c>
      <c r="BW109" s="17" cm="1">
        <f t="array" aca="1" ref="BW109" ca="1">_FV(EC109,"Baixo")</f>
        <v>4.5999999999999996</v>
      </c>
      <c r="BX109" s="17" cm="1">
        <f t="array" aca="1" ref="BX109" ca="1">_FV(EC109,"Alto")</f>
        <v>4.8</v>
      </c>
      <c r="BY109" s="24"/>
      <c r="BZ109" s="63">
        <f ca="1">SQRT(22.5*(BO109/VLOOKUP(BP109,Fundamentus!A:U,3,FALSE))*(BO109/VLOOKUP(BP109,Fundamentus!A:U,4,FALSE)))</f>
        <v>12.463202725116833</v>
      </c>
      <c r="CB109" s="62">
        <f t="shared" ca="1" si="112"/>
        <v>0</v>
      </c>
      <c r="CC109" s="8"/>
      <c r="CD109" s="61">
        <f t="shared" si="113"/>
        <v>4.57</v>
      </c>
      <c r="CE109" s="61">
        <f t="shared" si="114"/>
        <v>7.88</v>
      </c>
      <c r="CF109" s="61">
        <f t="shared" si="115"/>
        <v>6.2491666666666674</v>
      </c>
      <c r="CG109" s="14"/>
      <c r="CH109" s="35">
        <f t="shared" si="98"/>
        <v>4.2392025168912424</v>
      </c>
      <c r="CI109" s="15">
        <f t="shared" si="116"/>
        <v>4.5649999999999977</v>
      </c>
      <c r="CJ109" s="35">
        <f t="shared" si="99"/>
        <v>4.8907974831087531</v>
      </c>
      <c r="CL109" s="14"/>
      <c r="CM109" s="17">
        <f t="shared" si="100"/>
        <v>0.18333333333333357</v>
      </c>
      <c r="CN109" s="17">
        <f t="shared" si="101"/>
        <v>2.3766666666666669</v>
      </c>
      <c r="CO109" s="17">
        <f t="shared" si="102"/>
        <v>3.4933333333333332</v>
      </c>
      <c r="CP109" s="38">
        <f t="shared" si="117"/>
        <v>5.6866666666666665</v>
      </c>
      <c r="CQ109" s="17">
        <f t="shared" si="103"/>
        <v>6.8033333333333328</v>
      </c>
      <c r="CR109" s="17">
        <f t="shared" si="104"/>
        <v>8.9966666666666661</v>
      </c>
      <c r="CS109" s="17">
        <f t="shared" si="105"/>
        <v>10.113333333333333</v>
      </c>
      <c r="CT109" s="2" cm="1">
        <f t="array" aca="1" ref="CT109" ca="1">MAX(_xlfn._xlws.FILTER(CM109:CS109,CM109:CS109&lt;BO109))</f>
        <v>3.4933333333333332</v>
      </c>
      <c r="CU109" s="2" cm="1">
        <f t="array" aca="1" ref="CU109" ca="1">MIN(_xlfn._xlws.FILTER($CM109:$CS109,$CM109:$CS109&gt;BO109))</f>
        <v>5.6866666666666665</v>
      </c>
      <c r="CV109" s="16">
        <f t="shared" ca="1" si="119"/>
        <v>0.62786259541984735</v>
      </c>
      <c r="CW109" s="20">
        <f t="shared" ca="1" si="120"/>
        <v>-0.31393129770992367</v>
      </c>
      <c r="CX109" s="20">
        <f t="shared" ca="1" si="121"/>
        <v>-0.20928753180661577</v>
      </c>
      <c r="CY109" s="20">
        <f t="shared" ca="1" si="122"/>
        <v>-0.12557251908396946</v>
      </c>
      <c r="CZ109" s="20">
        <f t="shared" ca="1" si="123"/>
        <v>-6.9762510602205258E-2</v>
      </c>
      <c r="DA109" s="20">
        <f t="shared" ca="1" si="124"/>
        <v>-3.6933093848226316E-2</v>
      </c>
      <c r="DB109" s="20">
        <f t="shared" ca="1" si="125"/>
        <v>-1.9026139255146891E-2</v>
      </c>
      <c r="DC109" s="20">
        <f t="shared" ca="1" si="126"/>
        <v>-9.6594245449207281E-3</v>
      </c>
      <c r="DD109" s="21">
        <f t="shared" ca="1" si="127"/>
        <v>9.6594245449207281E-3</v>
      </c>
      <c r="DE109" s="21">
        <f t="shared" ca="1" si="128"/>
        <v>1.9026139255146891E-2</v>
      </c>
      <c r="DF109" s="21">
        <f t="shared" ca="1" si="129"/>
        <v>3.6933093848226316E-2</v>
      </c>
      <c r="DG109" s="21">
        <f t="shared" ca="1" si="130"/>
        <v>6.9762510602205258E-2</v>
      </c>
      <c r="DH109" s="21">
        <f t="shared" ca="1" si="131"/>
        <v>0.12557251908396946</v>
      </c>
      <c r="DI109" s="21">
        <f t="shared" ca="1" si="132"/>
        <v>0.20928753180661577</v>
      </c>
      <c r="DJ109" s="21">
        <f t="shared" ca="1" si="133"/>
        <v>0.31393129770992367</v>
      </c>
      <c r="DL109" s="16" cm="1">
        <f t="array" aca="1" ref="DL109" ca="1">MAX(_xlfn._xlws.FILTER(CW109:DJ109,CW109:DJ109&lt;BU109))</f>
        <v>-1.9026139255146891E-2</v>
      </c>
      <c r="DM109" s="16" cm="1">
        <f t="array" aca="1" ref="DM109" ca="1">MIN(_xlfn._xlws.FILTER(CW109:DJ109,CW109:DJ109&gt;BU109))</f>
        <v>-9.6594245449207281E-3</v>
      </c>
      <c r="DN109" s="2" cm="1">
        <f t="array" aca="1" ref="DN109" ca="1">_FV(EC109,"Fechamento anterior",TRUE)</f>
        <v>4.68</v>
      </c>
      <c r="DO109" s="28">
        <f t="shared" ca="1" si="106"/>
        <v>0.43439716312058435</v>
      </c>
      <c r="DP109" s="15">
        <f t="shared" ca="1" si="134"/>
        <v>4.5909576682859123</v>
      </c>
      <c r="DQ109" s="15">
        <f t="shared" ca="1" si="135"/>
        <v>4.6347938931297703</v>
      </c>
      <c r="DR109" s="9"/>
      <c r="DS109" s="9"/>
      <c r="DT109" s="9"/>
      <c r="DU109" s="89">
        <v>9.3346653346653308E-3</v>
      </c>
      <c r="DV109" s="89">
        <f t="shared" ca="1" si="107"/>
        <v>9.3667147102261625E-3</v>
      </c>
      <c r="DW109" s="72">
        <f t="shared" ca="1" si="108"/>
        <v>0.13812261399509038</v>
      </c>
      <c r="DX109" s="37"/>
      <c r="DY109" s="35">
        <f t="shared" si="118"/>
        <v>0.16289874155437775</v>
      </c>
      <c r="DZ109" s="56"/>
      <c r="EA109" s="56"/>
      <c r="EC109" s="2" t="e" vm="109">
        <v>#VALUE!</v>
      </c>
      <c r="EE109" s="10" cm="1">
        <f t="array" aca="1" ref="EE109" ca="1">_FV(EC109,"Ações em circulação",TRUE)</f>
        <v>48046490</v>
      </c>
      <c r="EF109" s="18">
        <f>VLOOKUP(BP109,Fundamentus!A:U,5,FALSE)</f>
        <v>0.27700000000000002</v>
      </c>
      <c r="EG109" s="2">
        <f t="shared" ca="1" si="109"/>
        <v>799618479.7833935</v>
      </c>
      <c r="EH109" s="17">
        <v>57652492.392382666</v>
      </c>
      <c r="EI109" s="17">
        <f t="shared" ca="1" si="110"/>
        <v>57652492.392382666</v>
      </c>
      <c r="EK109" s="16">
        <f t="shared" ca="1" si="97"/>
        <v>0</v>
      </c>
      <c r="EL109" s="32" t="str">
        <f>IF(VLOOKUP(BP109,Fundamentus!A:U,3,FALSE)&lt;15,"Bom",IF(VLOOKUP(BP109,Fundamentus!A:U,3,FALSE)&gt;15,"Ruim","n/a"))</f>
        <v>Bom</v>
      </c>
      <c r="EM109" s="28" t="str">
        <f>IF(VLOOKUP(BP109,Fundamentus!A:U,4,FALSE)&lt;1,"Baixo",IF(VLOOKUP(BP109,Fundamentus!A:U,4,FALSE)&lt;1.5,"Moderado",IF(VLOOKUP(BP109,Fundamentus!A:U,4,FALSE)&gt;1.5,"Alto","n/a")))</f>
        <v>Baixo</v>
      </c>
      <c r="EN109" s="17" t="str">
        <f>IF(VLOOKUP(BP109,Fundamentus!A:U,8,FALSE)&lt;0,"Risco elevado",IF(VLOOKUP(BP109,Fundamentus!A:U,8,FALSE)&lt;1,"Saudável",IF(VLOOKUP(BP109,Fundamentus!A:U,8,FALSE)&lt;3,"Estável",IF(VLOOKUP(BP109,Fundamentus!A:U,8,FALSE)&gt;3,"Alerta","n/a"))))</f>
        <v>Saudável</v>
      </c>
      <c r="EO109" s="28" t="str">
        <f t="shared" si="111"/>
        <v>Ruim</v>
      </c>
      <c r="EP109" s="17" t="str">
        <f>IF(VLOOKUP(BP109,Fundamentus!A:U,12,FALSE)&lt;2,"Subvalorizada",IF(VLOOKUP(BP109,Fundamentus!A:U,12,FALSE)&lt;6,"Muita barata",IF(VLOOKUP(BP109,Fundamentus!A:U,12,FALSE)&lt;6,"Barata",IF(VLOOKUP(BP109,Fundamentus!A:U,12,FALSE)&lt;8,"Atrativa",IF(VLOOKUP(BP109,Fundamentus!A:U,12,FALSE)&gt;8,"Supervalorizada","n/a")))))</f>
        <v>Muita barata</v>
      </c>
      <c r="ER109" s="17" t="str">
        <f>IF(VLOOKUP(BP109,Fundamentus!A:U,17,FALSE)&lt;0.1,"Fraco retorno",IF(VLOOKUP(BP109,Fundamentus!A:U,17,FALSE)&gt;0.1,"Bom retorno","n/a"))</f>
        <v>Fraco retorno</v>
      </c>
      <c r="ES109" s="17" t="str">
        <f>IF(VLOOKUP(BP109,Fundamentus!A:U,16,FALSE)&lt;0.1,"Ineficiente",IF(VLOOKUP(BP109,Fundamentus!A:U,16,FALSE)&gt;0.1,"Eficiente","n/a"))</f>
        <v>Ineficiente</v>
      </c>
      <c r="ET109" s="33" t="str">
        <f>IF(VLOOKUP(BP109,Fundamentus!A:U,16,FALSE)&lt;0.1,"Oper. Ineficiente",IF(VLOOKUP(BP109,Fundamentus!A:U,16,FALSE)&gt;0.1,"Oper.Eficiente","n/a"))</f>
        <v>Oper. Ineficiente</v>
      </c>
      <c r="EU109" s="34">
        <f>VLOOKUP(BP109,Fundamentus!A:U,14,FALSE)</f>
        <v>7.2099999999999997E-2</v>
      </c>
      <c r="EV109" s="17" t="str">
        <f>IF(VLOOKUP(BP109,Fundamentus!A:U,21,FALSE)&lt;0,"Negativo",IF(VLOOKUP(BP109,Fundamentus!A:U,21,FALSE)&lt;0.05,"Fraco",IF(VLOOKUP(BP109,Fundamentus!A:U,21,FALSE)&lt;0.1,"Bom",IF(VLOOKUP(BP109,Fundamentus!A:U,21,FALSE)&gt;0.1,"Muito bom","n/a"))))</f>
        <v>Bom</v>
      </c>
      <c r="EX109" s="29" t="str">
        <f>IF(VLOOKUP(BP109,Fundamentus!A:U,15,FALSE)&gt;1,"Bom",IF(VLOOKUP(BP109,Fundamentus!A:U,15,FALSE)&lt;1,"Ruim","n/a"))</f>
        <v>Bom</v>
      </c>
      <c r="EY109" s="17" t="str">
        <f>IF(VLOOKUP(BP109,Fundamentus!A:U,20,FALSE)&lt;0.5,"Baixa",IF(VLOOKUP(BP109,Fundamentus!A:U,20,FALSE)&lt;1,"Moderada",IF(VLOOKUP(BP109,Fundamentus!A:U,20,FALSE)&lt;2,"Alerta",IF(VLOOKUP(BP109,Fundamentus!A:U,20,FALSE)&gt;2,"Alta","n/a"))))</f>
        <v>Moderada</v>
      </c>
      <c r="EZ109" s="10"/>
    </row>
    <row r="110" spans="1:156" s="2" customFormat="1" ht="11.25" x14ac:dyDescent="0.2">
      <c r="A110" s="4">
        <v>13.53</v>
      </c>
      <c r="B110" s="4">
        <v>13.17</v>
      </c>
      <c r="C110" s="4">
        <v>13.87</v>
      </c>
      <c r="D110" s="4">
        <v>15.87</v>
      </c>
      <c r="E110" s="4">
        <v>16.21</v>
      </c>
      <c r="F110" s="4">
        <v>15.65</v>
      </c>
      <c r="G110" s="4">
        <v>15.31</v>
      </c>
      <c r="H110" s="4">
        <v>14.79</v>
      </c>
      <c r="I110" s="4">
        <v>15.3</v>
      </c>
      <c r="J110" s="4">
        <v>15.13</v>
      </c>
      <c r="K110" s="4">
        <v>15.64</v>
      </c>
      <c r="L110" s="4">
        <v>15.39</v>
      </c>
      <c r="M110" s="4">
        <v>16.149999999999999</v>
      </c>
      <c r="N110" s="4">
        <v>17.14</v>
      </c>
      <c r="O110" s="4">
        <v>16.760000000000002</v>
      </c>
      <c r="P110" s="4">
        <v>16.23</v>
      </c>
      <c r="Q110" s="4">
        <v>16.079999999999998</v>
      </c>
      <c r="R110" s="4">
        <v>15.4</v>
      </c>
      <c r="S110" s="4">
        <v>14.94</v>
      </c>
      <c r="T110" s="4">
        <v>15.55</v>
      </c>
      <c r="U110" s="4">
        <v>16.329999999999998</v>
      </c>
      <c r="V110" s="4">
        <v>14.91</v>
      </c>
      <c r="W110" s="4">
        <v>14.21</v>
      </c>
      <c r="X110" s="4">
        <v>13.53</v>
      </c>
      <c r="Y110" s="4">
        <v>12.92</v>
      </c>
      <c r="Z110" s="4">
        <v>13.3</v>
      </c>
      <c r="AA110" s="4">
        <v>13</v>
      </c>
      <c r="AB110" s="4">
        <v>13.75</v>
      </c>
      <c r="AC110" s="4">
        <v>13.54</v>
      </c>
      <c r="AD110" s="4">
        <v>13.79</v>
      </c>
      <c r="AE110" s="4">
        <v>12.83</v>
      </c>
      <c r="AF110" s="4">
        <v>12.92</v>
      </c>
      <c r="AG110" s="4">
        <v>11.58</v>
      </c>
      <c r="AH110" s="4">
        <v>10.3</v>
      </c>
      <c r="AI110" s="4">
        <v>10.199999999999999</v>
      </c>
      <c r="AJ110" s="4">
        <v>10.31</v>
      </c>
      <c r="AK110" s="4">
        <v>10.1</v>
      </c>
      <c r="AL110" s="4">
        <v>10.199999999999999</v>
      </c>
      <c r="AM110" s="4">
        <v>10.3</v>
      </c>
      <c r="AN110" s="4">
        <v>10.02</v>
      </c>
      <c r="AO110" s="4">
        <v>9.66</v>
      </c>
      <c r="AP110" s="4">
        <v>9.6999999999999993</v>
      </c>
      <c r="AQ110" s="4">
        <v>9.2100000000000009</v>
      </c>
      <c r="AR110" s="4">
        <v>8.18</v>
      </c>
      <c r="AS110" s="4">
        <v>8.4700000000000006</v>
      </c>
      <c r="AT110" s="4">
        <v>8.4</v>
      </c>
      <c r="AU110" s="4">
        <v>8.4450000000000003</v>
      </c>
      <c r="AV110" s="4">
        <v>8.01</v>
      </c>
      <c r="AW110" s="4">
        <v>8.5500000000000007</v>
      </c>
      <c r="AX110" s="4">
        <v>8.1999999999999993</v>
      </c>
      <c r="AY110" s="12">
        <v>8.74</v>
      </c>
      <c r="AZ110" s="12">
        <v>9.67</v>
      </c>
      <c r="BA110" s="12">
        <v>9.23</v>
      </c>
      <c r="BB110" s="15">
        <v>9.41</v>
      </c>
      <c r="BC110" s="52">
        <v>9.08</v>
      </c>
      <c r="BD110" s="52">
        <v>9.33</v>
      </c>
      <c r="BE110" s="52">
        <v>9.4600000000000009</v>
      </c>
      <c r="BF110" s="52">
        <v>9.36</v>
      </c>
      <c r="BG110" s="67">
        <v>9.5</v>
      </c>
      <c r="BH110" s="52">
        <v>9.73</v>
      </c>
      <c r="BI110" s="52">
        <v>9.4600000000000009</v>
      </c>
      <c r="BJ110" s="52">
        <v>9.51</v>
      </c>
      <c r="BK110" s="52">
        <v>9</v>
      </c>
      <c r="BL110" s="52">
        <v>8.1199999999999992</v>
      </c>
      <c r="BM110" s="52">
        <v>8.18</v>
      </c>
      <c r="BN110" s="52">
        <v>8.1199999999999992</v>
      </c>
      <c r="BO110" s="52" cm="1">
        <f t="array" aca="1" ref="BO110" ca="1">_FV(EC110,"Preço")</f>
        <v>8.1199999999999992</v>
      </c>
      <c r="BP110" s="69" t="s">
        <v>107</v>
      </c>
      <c r="BQ110" s="36" cm="1">
        <f t="array" aca="1" ref="BQ110" ca="1">_FV(EC110,"Média de volume",TRUE)</f>
        <v>267560</v>
      </c>
      <c r="BR110" s="36">
        <v>940800</v>
      </c>
      <c r="BS110" s="36" cm="1">
        <f t="array" aca="1" ref="BS110" ca="1">_FV(EC110,"Volume")</f>
        <v>940800</v>
      </c>
      <c r="BT110" s="24" cm="1">
        <f t="array" aca="1" ref="BT110" ca="1">_FV(EC110,"Beta")</f>
        <v>1.2629999999999999</v>
      </c>
      <c r="BU110" s="71" cm="1">
        <f t="array" aca="1" ref="BU110" ca="1">_FV(EC110,"Variação (%)",TRUE)</f>
        <v>-1.2164999999999999E-2</v>
      </c>
      <c r="BW110" s="17" cm="1">
        <f t="array" aca="1" ref="BW110" ca="1">_FV(EC110,"Baixo")</f>
        <v>7.8</v>
      </c>
      <c r="BX110" s="17" cm="1">
        <f t="array" aca="1" ref="BX110" ca="1">_FV(EC110,"Alto")</f>
        <v>8.26</v>
      </c>
      <c r="BY110" s="24"/>
      <c r="BZ110" s="63">
        <f ca="1">SQRT(22.5*(BO110/VLOOKUP(BP110,Fundamentus!A:U,3,FALSE))*(BO110/VLOOKUP(BP110,Fundamentus!A:U,4,FALSE)))</f>
        <v>14.139867363472819</v>
      </c>
      <c r="CB110" s="62">
        <f t="shared" ca="1" si="112"/>
        <v>0</v>
      </c>
      <c r="CC110" s="8"/>
      <c r="CD110" s="61">
        <f t="shared" si="113"/>
        <v>8.01</v>
      </c>
      <c r="CE110" s="61">
        <f t="shared" si="114"/>
        <v>17.14</v>
      </c>
      <c r="CF110" s="61">
        <f t="shared" si="115"/>
        <v>11.952651515151517</v>
      </c>
      <c r="CG110" s="14"/>
      <c r="CH110" s="35">
        <f t="shared" si="98"/>
        <v>6.5700631596443957</v>
      </c>
      <c r="CI110" s="15">
        <f t="shared" si="116"/>
        <v>7.7100000000000364</v>
      </c>
      <c r="CJ110" s="35">
        <f t="shared" si="99"/>
        <v>8.8499368403556762</v>
      </c>
      <c r="CL110" s="14"/>
      <c r="CM110" s="17">
        <f t="shared" si="100"/>
        <v>-4.0900000000000052</v>
      </c>
      <c r="CN110" s="17">
        <f t="shared" si="101"/>
        <v>1.9599999999999973</v>
      </c>
      <c r="CO110" s="17">
        <f t="shared" si="102"/>
        <v>5.0399999999999956</v>
      </c>
      <c r="CP110" s="38">
        <f t="shared" si="117"/>
        <v>11.089999999999998</v>
      </c>
      <c r="CQ110" s="17">
        <f t="shared" si="103"/>
        <v>14.169999999999996</v>
      </c>
      <c r="CR110" s="17">
        <f t="shared" si="104"/>
        <v>20.22</v>
      </c>
      <c r="CS110" s="17">
        <f t="shared" si="105"/>
        <v>23.299999999999997</v>
      </c>
      <c r="CT110" s="2" cm="1">
        <f t="array" aca="1" ref="CT110" ca="1">MAX(_xlfn._xlws.FILTER(CM110:CS110,CM110:CS110&lt;BO110))</f>
        <v>5.0399999999999956</v>
      </c>
      <c r="CU110" s="2" cm="1">
        <f t="array" aca="1" ref="CU110" ca="1">MIN(_xlfn._xlws.FILTER($CM110:$CS110,$CM110:$CS110&gt;BO110))</f>
        <v>11.089999999999998</v>
      </c>
      <c r="CV110" s="16">
        <f t="shared" ca="1" si="119"/>
        <v>1.2003968253968269</v>
      </c>
      <c r="CW110" s="20">
        <f t="shared" ca="1" si="120"/>
        <v>-0.60019841269841345</v>
      </c>
      <c r="CX110" s="20">
        <f t="shared" ca="1" si="121"/>
        <v>-0.40013227513227562</v>
      </c>
      <c r="CY110" s="20">
        <f t="shared" ca="1" si="122"/>
        <v>-0.24007936507936539</v>
      </c>
      <c r="CZ110" s="20">
        <f t="shared" ca="1" si="123"/>
        <v>-0.13337742504409189</v>
      </c>
      <c r="DA110" s="20">
        <f t="shared" ca="1" si="124"/>
        <v>-7.0611577964519223E-2</v>
      </c>
      <c r="DB110" s="20">
        <f t="shared" ca="1" si="125"/>
        <v>-3.6375661375661422E-2</v>
      </c>
      <c r="DC110" s="20">
        <f t="shared" ca="1" si="126"/>
        <v>-1.8467643467643492E-2</v>
      </c>
      <c r="DD110" s="21">
        <f t="shared" ca="1" si="127"/>
        <v>1.8467643467643492E-2</v>
      </c>
      <c r="DE110" s="21">
        <f t="shared" ca="1" si="128"/>
        <v>3.6375661375661422E-2</v>
      </c>
      <c r="DF110" s="21">
        <f t="shared" ca="1" si="129"/>
        <v>7.0611577964519223E-2</v>
      </c>
      <c r="DG110" s="21">
        <f t="shared" ca="1" si="130"/>
        <v>0.13337742504409189</v>
      </c>
      <c r="DH110" s="21">
        <f t="shared" ca="1" si="131"/>
        <v>0.24007936507936539</v>
      </c>
      <c r="DI110" s="21">
        <f t="shared" ca="1" si="132"/>
        <v>0.40013227513227562</v>
      </c>
      <c r="DJ110" s="21">
        <f t="shared" ca="1" si="133"/>
        <v>0.60019841269841345</v>
      </c>
      <c r="DL110" s="16" cm="1">
        <f t="array" aca="1" ref="DL110" ca="1">MAX(_xlfn._xlws.FILTER(CW110:DJ110,CW110:DJ110&lt;BU110))</f>
        <v>-1.8467643467643492E-2</v>
      </c>
      <c r="DM110" s="16" cm="1">
        <f t="array" aca="1" ref="DM110" ca="1">MIN(_xlfn._xlws.FILTER(CW110:DJ110,CW110:DJ110&gt;BU110))</f>
        <v>1.8467643467643492E-2</v>
      </c>
      <c r="DN110" s="2" cm="1">
        <f t="array" aca="1" ref="DN110" ca="1">_FV(EC110,"Fechamento anterior",TRUE)</f>
        <v>8.2200000000000006</v>
      </c>
      <c r="DO110" s="28">
        <f t="shared" ca="1" si="106"/>
        <v>0.17062797852445777</v>
      </c>
      <c r="DP110" s="15">
        <f t="shared" ca="1" si="134"/>
        <v>8.0681959706959709</v>
      </c>
      <c r="DQ110" s="15">
        <f t="shared" ca="1" si="135"/>
        <v>8.3718040293040303</v>
      </c>
      <c r="DR110" s="9"/>
      <c r="DS110" s="9"/>
      <c r="DT110" s="9"/>
      <c r="DU110" s="89">
        <v>3.6935286935286984E-2</v>
      </c>
      <c r="DV110" s="89">
        <f t="shared" ca="1" si="107"/>
        <v>3.6935286935286984E-2</v>
      </c>
      <c r="DW110" s="72">
        <f t="shared" ca="1" si="108"/>
        <v>0.35966904962212631</v>
      </c>
      <c r="DX110" s="37"/>
      <c r="DY110" s="35">
        <f t="shared" si="118"/>
        <v>0.56996842017782023</v>
      </c>
      <c r="DZ110" s="56"/>
      <c r="EA110" s="56"/>
      <c r="EC110" s="2" t="e" vm="110">
        <v>#VALUE!</v>
      </c>
      <c r="EE110" s="10" cm="1">
        <f t="array" aca="1" ref="EE110" ca="1">_FV(EC110,"Ações em circulação",TRUE)</f>
        <v>115907200</v>
      </c>
      <c r="EF110" s="18">
        <f>VLOOKUP(BP110,Fundamentus!A:U,5,FALSE)</f>
        <v>0.82899999999999996</v>
      </c>
      <c r="EG110" s="2">
        <f t="shared" ca="1" si="109"/>
        <v>1135303334.1375151</v>
      </c>
      <c r="EH110" s="17">
        <v>99111981.070205063</v>
      </c>
      <c r="EI110" s="17">
        <f t="shared" ca="1" si="110"/>
        <v>99111981.070205063</v>
      </c>
      <c r="EK110" s="16">
        <f t="shared" ca="1" si="97"/>
        <v>0</v>
      </c>
      <c r="EL110" s="32" t="str">
        <f>IF(VLOOKUP(BP110,Fundamentus!A:U,3,FALSE)&lt;15,"Bom",IF(VLOOKUP(BP110,Fundamentus!A:U,3,FALSE)&gt;15,"Ruim","n/a"))</f>
        <v>Bom</v>
      </c>
      <c r="EM110" s="28" t="str">
        <f>IF(VLOOKUP(BP110,Fundamentus!A:U,4,FALSE)&lt;1,"Baixo",IF(VLOOKUP(BP110,Fundamentus!A:U,4,FALSE)&lt;1.5,"Moderado",IF(VLOOKUP(BP110,Fundamentus!A:U,4,FALSE)&gt;1.5,"Alto","n/a")))</f>
        <v>Baixo</v>
      </c>
      <c r="EN110" s="17" t="str">
        <f>IF(VLOOKUP(BP110,Fundamentus!A:U,8,FALSE)&lt;0,"Risco elevado",IF(VLOOKUP(BP110,Fundamentus!A:U,8,FALSE)&lt;1,"Saudável",IF(VLOOKUP(BP110,Fundamentus!A:U,8,FALSE)&lt;3,"Estável",IF(VLOOKUP(BP110,Fundamentus!A:U,8,FALSE)&gt;3,"Alerta","n/a"))))</f>
        <v>Alerta</v>
      </c>
      <c r="EO110" s="28" t="str">
        <f t="shared" si="111"/>
        <v>Ruim</v>
      </c>
      <c r="EP110" s="17" t="str">
        <f>IF(VLOOKUP(BP110,Fundamentus!A:U,12,FALSE)&lt;2,"Subvalorizada",IF(VLOOKUP(BP110,Fundamentus!A:U,12,FALSE)&lt;6,"Muita barata",IF(VLOOKUP(BP110,Fundamentus!A:U,12,FALSE)&lt;6,"Barata",IF(VLOOKUP(BP110,Fundamentus!A:U,12,FALSE)&lt;8,"Atrativa",IF(VLOOKUP(BP110,Fundamentus!A:U,12,FALSE)&gt;8,"Supervalorizada","n/a")))))</f>
        <v>Muita barata</v>
      </c>
      <c r="ER110" s="17" t="str">
        <f>IF(VLOOKUP(BP110,Fundamentus!A:U,17,FALSE)&lt;0.1,"Fraco retorno",IF(VLOOKUP(BP110,Fundamentus!A:U,17,FALSE)&gt;0.1,"Bom retorno","n/a"))</f>
        <v>Fraco retorno</v>
      </c>
      <c r="ES110" s="17" t="str">
        <f>IF(VLOOKUP(BP110,Fundamentus!A:U,16,FALSE)&lt;0.1,"Ineficiente",IF(VLOOKUP(BP110,Fundamentus!A:U,16,FALSE)&gt;0.1,"Eficiente","n/a"))</f>
        <v>Eficiente</v>
      </c>
      <c r="ET110" s="33" t="str">
        <f>IF(VLOOKUP(BP110,Fundamentus!A:U,16,FALSE)&lt;0.1,"Oper. Ineficiente",IF(VLOOKUP(BP110,Fundamentus!A:U,16,FALSE)&gt;0.1,"Oper.Eficiente","n/a"))</f>
        <v>Oper.Eficiente</v>
      </c>
      <c r="EU110" s="34">
        <f>VLOOKUP(BP110,Fundamentus!A:U,14,FALSE)</f>
        <v>8.7300000000000003E-2</v>
      </c>
      <c r="EV110" s="17" t="str">
        <f>IF(VLOOKUP(BP110,Fundamentus!A:U,21,FALSE)&lt;0,"Negativo",IF(VLOOKUP(BP110,Fundamentus!A:U,21,FALSE)&lt;0.05,"Fraco",IF(VLOOKUP(BP110,Fundamentus!A:U,21,FALSE)&lt;0.1,"Bom",IF(VLOOKUP(BP110,Fundamentus!A:U,21,FALSE)&gt;0.1,"Muito bom","n/a"))))</f>
        <v>Muito bom</v>
      </c>
      <c r="EX110" s="29" t="str">
        <f>IF(VLOOKUP(BP110,Fundamentus!A:U,15,FALSE)&gt;1,"Bom",IF(VLOOKUP(BP110,Fundamentus!A:U,15,FALSE)&lt;1,"Ruim","n/a"))</f>
        <v>Bom</v>
      </c>
      <c r="EY110" s="17" t="str">
        <f>IF(VLOOKUP(BP110,Fundamentus!A:U,20,FALSE)&lt;0.5,"Baixa",IF(VLOOKUP(BP110,Fundamentus!A:U,20,FALSE)&lt;1,"Moderada",IF(VLOOKUP(BP110,Fundamentus!A:U,20,FALSE)&lt;2,"Alerta",IF(VLOOKUP(BP110,Fundamentus!A:U,20,FALSE)&gt;2,"Alta","n/a"))))</f>
        <v>Alerta</v>
      </c>
      <c r="EZ110" s="10"/>
    </row>
    <row r="111" spans="1:156" s="2" customFormat="1" ht="11.25"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5">
        <v>2.4700000000000002</v>
      </c>
      <c r="BC111" s="52">
        <v>2.52</v>
      </c>
      <c r="BD111" s="52">
        <v>2.58</v>
      </c>
      <c r="BE111" s="52">
        <v>2.72</v>
      </c>
      <c r="BF111" s="52">
        <v>2.69</v>
      </c>
      <c r="BG111" s="67">
        <v>2.65</v>
      </c>
      <c r="BH111" s="52">
        <v>2.6</v>
      </c>
      <c r="BI111" s="52">
        <v>2.77</v>
      </c>
      <c r="BJ111" s="52">
        <v>2.8</v>
      </c>
      <c r="BK111" s="52">
        <v>2.64</v>
      </c>
      <c r="BL111" s="52">
        <v>2.48</v>
      </c>
      <c r="BM111" s="52">
        <v>2.5</v>
      </c>
      <c r="BN111" s="52">
        <v>2.44</v>
      </c>
      <c r="BO111" s="52" cm="1">
        <f t="array" aca="1" ref="BO111" ca="1">_FV(EC111,"Preço")</f>
        <v>2.44</v>
      </c>
      <c r="BP111" s="69" t="s">
        <v>108</v>
      </c>
      <c r="BQ111" s="36" cm="1">
        <f t="array" aca="1" ref="BQ111" ca="1">_FV(EC111,"Média de volume",TRUE)</f>
        <v>53620</v>
      </c>
      <c r="BR111" s="36">
        <v>63900</v>
      </c>
      <c r="BS111" s="36" cm="1">
        <f t="array" aca="1" ref="BS111" ca="1">_FV(EC111,"Volume")</f>
        <v>63900</v>
      </c>
      <c r="BT111" s="24" cm="1">
        <f t="array" aca="1" ref="BT111" ca="1">_FV(EC111,"Beta")</f>
        <v>1.0387999999999999</v>
      </c>
      <c r="BU111" s="71" cm="1">
        <f t="array" aca="1" ref="BU111" ca="1">_FV(EC111,"Variação (%)",TRUE)</f>
        <v>-2.7888000000000003E-2</v>
      </c>
      <c r="BW111" s="17" cm="1">
        <f t="array" aca="1" ref="BW111" ca="1">_FV(EC111,"Baixo")</f>
        <v>2.44</v>
      </c>
      <c r="BX111" s="17" cm="1">
        <f t="array" aca="1" ref="BX111" ca="1">_FV(EC111,"Alto")</f>
        <v>2.65</v>
      </c>
      <c r="BY111" s="24"/>
      <c r="BZ111" s="63">
        <f ca="1">SQRT(22.5*(BO111/VLOOKUP(BP111,Fundamentus!A:U,3,FALSE))*(BO111/VLOOKUP(BP111,Fundamentus!A:U,4,FALSE)))</f>
        <v>3.1034338960294963</v>
      </c>
      <c r="CB111" s="62">
        <f t="shared" ca="1" si="112"/>
        <v>0</v>
      </c>
      <c r="CC111" s="8"/>
      <c r="CD111" s="61">
        <f t="shared" si="113"/>
        <v>2.0499999999999998</v>
      </c>
      <c r="CE111" s="61">
        <f t="shared" si="114"/>
        <v>2.99</v>
      </c>
      <c r="CF111" s="61">
        <f t="shared" si="115"/>
        <v>2.5093939393939388</v>
      </c>
      <c r="CG111" s="14"/>
      <c r="CH111" s="35">
        <f t="shared" si="98"/>
        <v>2.1051528742840553</v>
      </c>
      <c r="CI111" s="15">
        <f t="shared" si="116"/>
        <v>2.3700000000000045</v>
      </c>
      <c r="CJ111" s="35">
        <f t="shared" si="99"/>
        <v>2.6348471257159538</v>
      </c>
      <c r="CL111" s="14"/>
      <c r="CM111" s="17">
        <f t="shared" si="100"/>
        <v>1.0566666666666666</v>
      </c>
      <c r="CN111" s="17">
        <f t="shared" si="101"/>
        <v>1.5533333333333332</v>
      </c>
      <c r="CO111" s="17">
        <f t="shared" si="102"/>
        <v>1.996666666666667</v>
      </c>
      <c r="CP111" s="38">
        <f t="shared" si="117"/>
        <v>2.4933333333333336</v>
      </c>
      <c r="CQ111" s="17">
        <f t="shared" si="103"/>
        <v>2.9366666666666674</v>
      </c>
      <c r="CR111" s="17">
        <f t="shared" si="104"/>
        <v>3.433333333333334</v>
      </c>
      <c r="CS111" s="17">
        <f t="shared" si="105"/>
        <v>3.8766666666666678</v>
      </c>
      <c r="CT111" s="2" cm="1">
        <f t="array" aca="1" ref="CT111" ca="1">MAX(_xlfn._xlws.FILTER(CM111:CS111,CM111:CS111&lt;BO111))</f>
        <v>1.996666666666667</v>
      </c>
      <c r="CU111" s="2" cm="1">
        <f t="array" aca="1" ref="CU111" ca="1">MIN(_xlfn._xlws.FILTER($CM111:$CS111,$CM111:$CS111&gt;BO111))</f>
        <v>2.4933333333333336</v>
      </c>
      <c r="CV111" s="16">
        <f t="shared" ca="1" si="119"/>
        <v>0.24874791318864764</v>
      </c>
      <c r="CW111" s="20">
        <f t="shared" ca="1" si="120"/>
        <v>-0.12437395659432382</v>
      </c>
      <c r="CX111" s="20">
        <f t="shared" ca="1" si="121"/>
        <v>-8.2915971062882551E-2</v>
      </c>
      <c r="CY111" s="20">
        <f t="shared" ca="1" si="122"/>
        <v>-4.9749582637729529E-2</v>
      </c>
      <c r="CZ111" s="20">
        <f t="shared" ca="1" si="123"/>
        <v>-2.7638657020960848E-2</v>
      </c>
      <c r="DA111" s="20">
        <f t="shared" ca="1" si="124"/>
        <v>-1.4632230187567508E-2</v>
      </c>
      <c r="DB111" s="20">
        <f t="shared" ca="1" si="125"/>
        <v>-7.5378155511711406E-3</v>
      </c>
      <c r="DC111" s="20">
        <f t="shared" ca="1" si="126"/>
        <v>-3.8268909721330406E-3</v>
      </c>
      <c r="DD111" s="21">
        <f t="shared" ca="1" si="127"/>
        <v>3.8268909721330406E-3</v>
      </c>
      <c r="DE111" s="21">
        <f t="shared" ca="1" si="128"/>
        <v>7.5378155511711406E-3</v>
      </c>
      <c r="DF111" s="21">
        <f t="shared" ca="1" si="129"/>
        <v>1.4632230187567508E-2</v>
      </c>
      <c r="DG111" s="21">
        <f t="shared" ca="1" si="130"/>
        <v>2.7638657020960848E-2</v>
      </c>
      <c r="DH111" s="21">
        <f t="shared" ca="1" si="131"/>
        <v>4.9749582637729529E-2</v>
      </c>
      <c r="DI111" s="21">
        <f t="shared" ca="1" si="132"/>
        <v>8.2915971062882551E-2</v>
      </c>
      <c r="DJ111" s="21">
        <f t="shared" ca="1" si="133"/>
        <v>0.12437395659432382</v>
      </c>
      <c r="DL111" s="16" cm="1">
        <f t="array" aca="1" ref="DL111" ca="1">MAX(_xlfn._xlws.FILTER(CW111:DJ111,CW111:DJ111&lt;BU111))</f>
        <v>-4.9749582637729529E-2</v>
      </c>
      <c r="DM111" s="16" cm="1">
        <f t="array" aca="1" ref="DM111" ca="1">MIN(_xlfn._xlws.FILTER(CW111:DJ111,CW111:DJ111&gt;BU111))</f>
        <v>-2.7638657020960848E-2</v>
      </c>
      <c r="DN111" s="2" cm="1">
        <f t="array" aca="1" ref="DN111" ca="1">_FV(EC111,"Fechamento anterior",TRUE)</f>
        <v>2.5099999999999998</v>
      </c>
      <c r="DO111" s="28">
        <f t="shared" ca="1" si="106"/>
        <v>0.9887029064948254</v>
      </c>
      <c r="DP111" s="15">
        <f t="shared" ca="1" si="134"/>
        <v>2.3851285475792987</v>
      </c>
      <c r="DQ111" s="15">
        <f t="shared" ca="1" si="135"/>
        <v>2.4406269708773882</v>
      </c>
      <c r="DR111" s="9"/>
      <c r="DS111" s="9"/>
      <c r="DT111" s="9"/>
      <c r="DU111" s="89">
        <v>1.2490443733781286E-2</v>
      </c>
      <c r="DV111" s="89">
        <f t="shared" ca="1" si="107"/>
        <v>2.2110925616768681E-2</v>
      </c>
      <c r="DW111" s="72">
        <f t="shared" ca="1" si="108"/>
        <v>0.26430341583193534</v>
      </c>
      <c r="DX111" s="37"/>
      <c r="DY111" s="35">
        <f t="shared" si="118"/>
        <v>0.13242356285797474</v>
      </c>
      <c r="DZ111" s="56"/>
      <c r="EA111" s="56"/>
      <c r="EC111" s="2" t="e" vm="111">
        <v>#VALUE!</v>
      </c>
      <c r="EE111" s="10" cm="1">
        <f t="array" aca="1" ref="EE111" ca="1">_FV(EC111,"Ações em circulação",TRUE)</f>
        <v>1206361000</v>
      </c>
      <c r="EF111" s="18">
        <f>VLOOKUP(BP111,Fundamentus!A:U,5,FALSE)</f>
        <v>4.0279999999999996</v>
      </c>
      <c r="EG111" s="2">
        <f t="shared" ca="1" si="109"/>
        <v>730764856.00794446</v>
      </c>
      <c r="EH111" s="17">
        <v>245536991.61866936</v>
      </c>
      <c r="EI111" s="17">
        <f t="shared" ca="1" si="110"/>
        <v>245536991.61866936</v>
      </c>
      <c r="EK111" s="16">
        <f t="shared" ca="1" si="97"/>
        <v>0</v>
      </c>
      <c r="EL111" s="32" t="str">
        <f>IF(VLOOKUP(BP111,Fundamentus!A:U,3,FALSE)&lt;15,"Bom",IF(VLOOKUP(BP111,Fundamentus!A:U,3,FALSE)&gt;15,"Ruim","n/a"))</f>
        <v>Bom</v>
      </c>
      <c r="EM111" s="28" t="str">
        <f>IF(VLOOKUP(BP111,Fundamentus!A:U,4,FALSE)&lt;1,"Baixo",IF(VLOOKUP(BP111,Fundamentus!A:U,4,FALSE)&lt;1.5,"Moderado",IF(VLOOKUP(BP111,Fundamentus!A:U,4,FALSE)&gt;1.5,"Alto","n/a")))</f>
        <v>Moderado</v>
      </c>
      <c r="EN111" s="17" t="str">
        <f>IF(VLOOKUP(BP111,Fundamentus!A:U,8,FALSE)&lt;0,"Risco elevado",IF(VLOOKUP(BP111,Fundamentus!A:U,8,FALSE)&lt;1,"Saudável",IF(VLOOKUP(BP111,Fundamentus!A:U,8,FALSE)&lt;3,"Estável",IF(VLOOKUP(BP111,Fundamentus!A:U,8,FALSE)&gt;3,"Alerta","n/a"))))</f>
        <v>Estável</v>
      </c>
      <c r="EO111" s="28" t="str">
        <f t="shared" si="111"/>
        <v>Bom</v>
      </c>
      <c r="EP111" s="17" t="str">
        <f>IF(VLOOKUP(BP111,Fundamentus!A:U,12,FALSE)&lt;2,"Subvalorizada",IF(VLOOKUP(BP111,Fundamentus!A:U,12,FALSE)&lt;6,"Muita barata",IF(VLOOKUP(BP111,Fundamentus!A:U,12,FALSE)&lt;6,"Barata",IF(VLOOKUP(BP111,Fundamentus!A:U,12,FALSE)&lt;8,"Atrativa",IF(VLOOKUP(BP111,Fundamentus!A:U,12,FALSE)&gt;8,"Supervalorizada","n/a")))))</f>
        <v>Atrativa</v>
      </c>
      <c r="ER111" s="17" t="str">
        <f>IF(VLOOKUP(BP111,Fundamentus!A:U,17,FALSE)&lt;0.1,"Fraco retorno",IF(VLOOKUP(BP111,Fundamentus!A:U,17,FALSE)&gt;0.1,"Bom retorno","n/a"))</f>
        <v>Fraco retorno</v>
      </c>
      <c r="ES111" s="17" t="str">
        <f>IF(VLOOKUP(BP111,Fundamentus!A:U,16,FALSE)&lt;0.1,"Ineficiente",IF(VLOOKUP(BP111,Fundamentus!A:U,16,FALSE)&gt;0.1,"Eficiente","n/a"))</f>
        <v>Eficiente</v>
      </c>
      <c r="ET111" s="33" t="str">
        <f>IF(VLOOKUP(BP111,Fundamentus!A:U,16,FALSE)&lt;0.1,"Oper. Ineficiente",IF(VLOOKUP(BP111,Fundamentus!A:U,16,FALSE)&gt;0.1,"Oper.Eficiente","n/a"))</f>
        <v>Oper.Eficiente</v>
      </c>
      <c r="EU111" s="34">
        <f>VLOOKUP(BP111,Fundamentus!A:U,14,FALSE)</f>
        <v>0.33600000000000002</v>
      </c>
      <c r="EV111" s="17" t="str">
        <f>IF(VLOOKUP(BP111,Fundamentus!A:U,21,FALSE)&lt;0,"Negativo",IF(VLOOKUP(BP111,Fundamentus!A:U,21,FALSE)&lt;0.05,"Fraco",IF(VLOOKUP(BP111,Fundamentus!A:U,21,FALSE)&lt;0.1,"Bom",IF(VLOOKUP(BP111,Fundamentus!A:U,21,FALSE)&gt;0.1,"Muito bom","n/a"))))</f>
        <v>Muito bom</v>
      </c>
      <c r="EX111" s="29" t="str">
        <f>IF(VLOOKUP(BP111,Fundamentus!A:U,15,FALSE)&gt;1,"Bom",IF(VLOOKUP(BP111,Fundamentus!A:U,15,FALSE)&lt;1,"Ruim","n/a"))</f>
        <v>Bom</v>
      </c>
      <c r="EY111" s="17" t="str">
        <f>IF(VLOOKUP(BP111,Fundamentus!A:U,20,FALSE)&lt;0.5,"Baixa",IF(VLOOKUP(BP111,Fundamentus!A:U,20,FALSE)&lt;1,"Moderada",IF(VLOOKUP(BP111,Fundamentus!A:U,20,FALSE)&lt;2,"Alerta",IF(VLOOKUP(BP111,Fundamentus!A:U,20,FALSE)&gt;2,"Alta","n/a"))))</f>
        <v>Moderada</v>
      </c>
      <c r="EZ111" s="10"/>
    </row>
    <row r="112" spans="1:156" s="2" customFormat="1" ht="11.25" x14ac:dyDescent="0.2">
      <c r="A112" s="4">
        <v>2.97</v>
      </c>
      <c r="B112" s="4">
        <v>2.99</v>
      </c>
      <c r="C112" s="4">
        <v>2.95</v>
      </c>
      <c r="D112" s="4">
        <v>2.9</v>
      </c>
      <c r="E112" s="4">
        <v>2.86</v>
      </c>
      <c r="F112" s="4">
        <v>2.87</v>
      </c>
      <c r="G112" s="4">
        <v>2.67</v>
      </c>
      <c r="H112" s="4">
        <v>2.63</v>
      </c>
      <c r="I112" s="4">
        <v>2.62</v>
      </c>
      <c r="J112" s="4">
        <v>2.73</v>
      </c>
      <c r="K112" s="4">
        <v>2.72</v>
      </c>
      <c r="L112" s="4">
        <v>2.65</v>
      </c>
      <c r="M112" s="4">
        <v>2.63</v>
      </c>
      <c r="N112" s="4">
        <v>2.63</v>
      </c>
      <c r="O112" s="4">
        <v>2.85</v>
      </c>
      <c r="P112" s="4">
        <v>2.86</v>
      </c>
      <c r="Q112" s="4">
        <v>2.9</v>
      </c>
      <c r="R112" s="4">
        <v>2.78</v>
      </c>
      <c r="S112" s="4">
        <v>2.71</v>
      </c>
      <c r="T112" s="4">
        <v>2.72</v>
      </c>
      <c r="U112" s="4">
        <v>2.62</v>
      </c>
      <c r="V112" s="4">
        <v>2.65</v>
      </c>
      <c r="W112" s="4">
        <v>2.66</v>
      </c>
      <c r="X112" s="4">
        <v>2.57</v>
      </c>
      <c r="Y112" s="4">
        <v>2.56</v>
      </c>
      <c r="Z112" s="4">
        <v>2.5499999999999998</v>
      </c>
      <c r="AA112" s="4">
        <v>2.48</v>
      </c>
      <c r="AB112" s="4">
        <v>2.48</v>
      </c>
      <c r="AC112" s="4">
        <v>2.41</v>
      </c>
      <c r="AD112" s="4">
        <v>2.38</v>
      </c>
      <c r="AE112" s="4">
        <v>2.34</v>
      </c>
      <c r="AF112" s="4">
        <v>2.3199999999999998</v>
      </c>
      <c r="AG112" s="4">
        <v>2.2200000000000002</v>
      </c>
      <c r="AH112" s="4">
        <v>2.1</v>
      </c>
      <c r="AI112" s="4">
        <v>2.15</v>
      </c>
      <c r="AJ112" s="4">
        <v>2.12</v>
      </c>
      <c r="AK112" s="4">
        <v>2.06</v>
      </c>
      <c r="AL112" s="4">
        <v>2.1</v>
      </c>
      <c r="AM112" s="4">
        <v>2.0499999999999998</v>
      </c>
      <c r="AN112" s="4">
        <v>2.1800000000000002</v>
      </c>
      <c r="AO112" s="4">
        <v>2.33</v>
      </c>
      <c r="AP112" s="4">
        <v>2.41</v>
      </c>
      <c r="AQ112" s="4">
        <v>2.35</v>
      </c>
      <c r="AR112" s="4">
        <v>2.08</v>
      </c>
      <c r="AS112" s="4">
        <v>2.13</v>
      </c>
      <c r="AT112" s="4">
        <v>2.19</v>
      </c>
      <c r="AU112" s="4">
        <v>2.21</v>
      </c>
      <c r="AV112" s="4">
        <v>2.17</v>
      </c>
      <c r="AW112" s="4">
        <v>2.13</v>
      </c>
      <c r="AX112" s="4">
        <v>2.21</v>
      </c>
      <c r="AY112" s="12">
        <v>2.2400000000000002</v>
      </c>
      <c r="AZ112" s="12">
        <v>2.35</v>
      </c>
      <c r="BA112" s="12">
        <v>2.3199999999999998</v>
      </c>
      <c r="BB112" s="15">
        <v>2.4700000000000002</v>
      </c>
      <c r="BC112" s="52">
        <v>2.52</v>
      </c>
      <c r="BD112" s="52">
        <v>2.58</v>
      </c>
      <c r="BE112" s="52">
        <v>2.72</v>
      </c>
      <c r="BF112" s="52">
        <v>2.69</v>
      </c>
      <c r="BG112" s="67">
        <v>2.65</v>
      </c>
      <c r="BH112" s="52">
        <v>2.6</v>
      </c>
      <c r="BI112" s="52">
        <v>2.77</v>
      </c>
      <c r="BJ112" s="52">
        <v>2.8</v>
      </c>
      <c r="BK112" s="52">
        <v>2.64</v>
      </c>
      <c r="BL112" s="52">
        <v>2.48</v>
      </c>
      <c r="BM112" s="52">
        <v>2.5</v>
      </c>
      <c r="BN112" s="52">
        <v>2.44</v>
      </c>
      <c r="BO112" s="52" cm="1">
        <f t="array" aca="1" ref="BO112" ca="1">_FV(EC112,"Preço")</f>
        <v>2.44</v>
      </c>
      <c r="BP112" s="69" t="s">
        <v>108</v>
      </c>
      <c r="BQ112" s="36" cm="1">
        <f t="array" aca="1" ref="BQ112" ca="1">_FV(EC112,"Média de volume",TRUE)</f>
        <v>53620</v>
      </c>
      <c r="BR112" s="36">
        <v>63900</v>
      </c>
      <c r="BS112" s="36" cm="1">
        <f t="array" aca="1" ref="BS112" ca="1">_FV(EC112,"Volume")</f>
        <v>63900</v>
      </c>
      <c r="BT112" s="24" cm="1">
        <f t="array" aca="1" ref="BT112" ca="1">_FV(EC112,"Beta")</f>
        <v>1.0387999999999999</v>
      </c>
      <c r="BU112" s="71" cm="1">
        <f t="array" aca="1" ref="BU112" ca="1">_FV(EC112,"Variação (%)",TRUE)</f>
        <v>-2.7888000000000003E-2</v>
      </c>
      <c r="BW112" s="17" cm="1">
        <f t="array" aca="1" ref="BW112" ca="1">_FV(EC112,"Baixo")</f>
        <v>2.44</v>
      </c>
      <c r="BX112" s="17" cm="1">
        <f t="array" aca="1" ref="BX112" ca="1">_FV(EC112,"Alto")</f>
        <v>2.65</v>
      </c>
      <c r="BY112" s="24"/>
      <c r="BZ112" s="63">
        <f ca="1">SQRT(22.5*(BO112/VLOOKUP(BP112,Fundamentus!A:U,3,FALSE))*(BO112/VLOOKUP(BP112,Fundamentus!A:U,4,FALSE)))</f>
        <v>3.1034338960294963</v>
      </c>
      <c r="CB112" s="62">
        <f t="shared" ca="1" si="112"/>
        <v>0</v>
      </c>
      <c r="CC112" s="8"/>
      <c r="CD112" s="61">
        <f t="shared" si="113"/>
        <v>2.0499999999999998</v>
      </c>
      <c r="CE112" s="61">
        <f t="shared" si="114"/>
        <v>2.99</v>
      </c>
      <c r="CF112" s="61">
        <f t="shared" si="115"/>
        <v>2.5093939393939388</v>
      </c>
      <c r="CG112" s="14"/>
      <c r="CH112" s="35">
        <f t="shared" si="98"/>
        <v>2.1051528742840553</v>
      </c>
      <c r="CI112" s="15">
        <f t="shared" si="116"/>
        <v>2.3700000000000045</v>
      </c>
      <c r="CJ112" s="35">
        <f t="shared" si="99"/>
        <v>2.6348471257159538</v>
      </c>
      <c r="CL112" s="14"/>
      <c r="CM112" s="17">
        <f t="shared" si="100"/>
        <v>1.0566666666666666</v>
      </c>
      <c r="CN112" s="17">
        <f t="shared" si="101"/>
        <v>1.5533333333333332</v>
      </c>
      <c r="CO112" s="17">
        <f t="shared" si="102"/>
        <v>1.996666666666667</v>
      </c>
      <c r="CP112" s="38">
        <f t="shared" si="117"/>
        <v>2.4933333333333336</v>
      </c>
      <c r="CQ112" s="17">
        <f t="shared" si="103"/>
        <v>2.9366666666666674</v>
      </c>
      <c r="CR112" s="17">
        <f t="shared" si="104"/>
        <v>3.433333333333334</v>
      </c>
      <c r="CS112" s="17">
        <f t="shared" si="105"/>
        <v>3.8766666666666678</v>
      </c>
      <c r="CT112" s="2" cm="1">
        <f t="array" aca="1" ref="CT112" ca="1">MAX(_xlfn._xlws.FILTER(CM112:CS112,CM112:CS112&lt;BO112))</f>
        <v>1.996666666666667</v>
      </c>
      <c r="CU112" s="2" cm="1">
        <f t="array" aca="1" ref="CU112" ca="1">MIN(_xlfn._xlws.FILTER($CM112:$CS112,$CM112:$CS112&gt;BO112))</f>
        <v>2.4933333333333336</v>
      </c>
      <c r="CV112" s="16">
        <f t="shared" ca="1" si="119"/>
        <v>0.24874791318864764</v>
      </c>
      <c r="CW112" s="20">
        <f t="shared" ca="1" si="120"/>
        <v>-0.12437395659432382</v>
      </c>
      <c r="CX112" s="20">
        <f t="shared" ca="1" si="121"/>
        <v>-8.2915971062882551E-2</v>
      </c>
      <c r="CY112" s="20">
        <f t="shared" ca="1" si="122"/>
        <v>-4.9749582637729529E-2</v>
      </c>
      <c r="CZ112" s="20">
        <f t="shared" ca="1" si="123"/>
        <v>-2.7638657020960848E-2</v>
      </c>
      <c r="DA112" s="20">
        <f t="shared" ca="1" si="124"/>
        <v>-1.4632230187567508E-2</v>
      </c>
      <c r="DB112" s="20">
        <f t="shared" ca="1" si="125"/>
        <v>-7.5378155511711406E-3</v>
      </c>
      <c r="DC112" s="20">
        <f t="shared" ca="1" si="126"/>
        <v>-3.8268909721330406E-3</v>
      </c>
      <c r="DD112" s="21">
        <f t="shared" ca="1" si="127"/>
        <v>3.8268909721330406E-3</v>
      </c>
      <c r="DE112" s="21">
        <f t="shared" ca="1" si="128"/>
        <v>7.5378155511711406E-3</v>
      </c>
      <c r="DF112" s="21">
        <f t="shared" ca="1" si="129"/>
        <v>1.4632230187567508E-2</v>
      </c>
      <c r="DG112" s="21">
        <f t="shared" ca="1" si="130"/>
        <v>2.7638657020960848E-2</v>
      </c>
      <c r="DH112" s="21">
        <f t="shared" ca="1" si="131"/>
        <v>4.9749582637729529E-2</v>
      </c>
      <c r="DI112" s="21">
        <f t="shared" ca="1" si="132"/>
        <v>8.2915971062882551E-2</v>
      </c>
      <c r="DJ112" s="21">
        <f t="shared" ca="1" si="133"/>
        <v>0.12437395659432382</v>
      </c>
      <c r="DL112" s="16" cm="1">
        <f t="array" aca="1" ref="DL112" ca="1">MAX(_xlfn._xlws.FILTER(CW112:DJ112,CW112:DJ112&lt;BU112))</f>
        <v>-4.9749582637729529E-2</v>
      </c>
      <c r="DM112" s="16" cm="1">
        <f t="array" aca="1" ref="DM112" ca="1">MIN(_xlfn._xlws.FILTER(CW112:DJ112,CW112:DJ112&gt;BU112))</f>
        <v>-2.7638657020960848E-2</v>
      </c>
      <c r="DN112" s="2" cm="1">
        <f t="array" aca="1" ref="DN112" ca="1">_FV(EC112,"Fechamento anterior",TRUE)</f>
        <v>2.5099999999999998</v>
      </c>
      <c r="DO112" s="28">
        <f t="shared" ca="1" si="106"/>
        <v>0.9887029064948254</v>
      </c>
      <c r="DP112" s="15">
        <f t="shared" ca="1" si="134"/>
        <v>2.3851285475792987</v>
      </c>
      <c r="DQ112" s="15">
        <f t="shared" ca="1" si="135"/>
        <v>2.4406269708773882</v>
      </c>
      <c r="DR112" s="9"/>
      <c r="DS112" s="9"/>
      <c r="DT112" s="9"/>
      <c r="DU112" s="89">
        <v>1.2490443733781286E-2</v>
      </c>
      <c r="DV112" s="89">
        <f t="shared" ca="1" si="107"/>
        <v>2.2110925616768681E-2</v>
      </c>
      <c r="DW112" s="72">
        <f t="shared" ca="1" si="108"/>
        <v>0.26430341583193534</v>
      </c>
      <c r="DX112" s="37"/>
      <c r="DY112" s="35">
        <f t="shared" si="118"/>
        <v>0.13242356285797474</v>
      </c>
      <c r="DZ112" s="56"/>
      <c r="EA112" s="56"/>
      <c r="EC112" s="2" t="e" vm="111">
        <v>#VALUE!</v>
      </c>
      <c r="EE112" s="10" cm="1">
        <f t="array" aca="1" ref="EE112" ca="1">_FV(EC112,"Ações em circulação",TRUE)</f>
        <v>1206361000</v>
      </c>
      <c r="EF112" s="18">
        <f>VLOOKUP(BP112,Fundamentus!A:U,5,FALSE)</f>
        <v>4.0279999999999996</v>
      </c>
      <c r="EG112" s="2">
        <f t="shared" ca="1" si="109"/>
        <v>730764856.00794446</v>
      </c>
      <c r="EH112" s="17">
        <v>245536991.61866936</v>
      </c>
      <c r="EI112" s="17">
        <f t="shared" ca="1" si="110"/>
        <v>245536991.61866936</v>
      </c>
      <c r="EK112" s="16">
        <f t="shared" ca="1" si="97"/>
        <v>0</v>
      </c>
      <c r="EL112" s="32" t="str">
        <f>IF(VLOOKUP(BP112,Fundamentus!A:U,3,FALSE)&lt;15,"Bom",IF(VLOOKUP(BP112,Fundamentus!A:U,3,FALSE)&gt;15,"Ruim","n/a"))</f>
        <v>Bom</v>
      </c>
      <c r="EM112" s="28" t="str">
        <f>IF(VLOOKUP(BP112,Fundamentus!A:U,4,FALSE)&lt;1,"Baixo",IF(VLOOKUP(BP112,Fundamentus!A:U,4,FALSE)&lt;1.5,"Moderado",IF(VLOOKUP(BP112,Fundamentus!A:U,4,FALSE)&gt;1.5,"Alto","n/a")))</f>
        <v>Moderado</v>
      </c>
      <c r="EN112" s="17" t="str">
        <f>IF(VLOOKUP(BP112,Fundamentus!A:U,8,FALSE)&lt;0,"Risco elevado",IF(VLOOKUP(BP112,Fundamentus!A:U,8,FALSE)&lt;1,"Saudável",IF(VLOOKUP(BP112,Fundamentus!A:U,8,FALSE)&lt;3,"Estável",IF(VLOOKUP(BP112,Fundamentus!A:U,8,FALSE)&gt;3,"Alerta","n/a"))))</f>
        <v>Estável</v>
      </c>
      <c r="EO112" s="28" t="str">
        <f t="shared" si="111"/>
        <v>Bom</v>
      </c>
      <c r="EP112" s="17" t="str">
        <f>IF(VLOOKUP(BP112,Fundamentus!A:U,12,FALSE)&lt;2,"Subvalorizada",IF(VLOOKUP(BP112,Fundamentus!A:U,12,FALSE)&lt;6,"Muita barata",IF(VLOOKUP(BP112,Fundamentus!A:U,12,FALSE)&lt;6,"Barata",IF(VLOOKUP(BP112,Fundamentus!A:U,12,FALSE)&lt;8,"Atrativa",IF(VLOOKUP(BP112,Fundamentus!A:U,12,FALSE)&gt;8,"Supervalorizada","n/a")))))</f>
        <v>Atrativa</v>
      </c>
      <c r="ER112" s="17" t="str">
        <f>IF(VLOOKUP(BP112,Fundamentus!A:U,17,FALSE)&lt;0.1,"Fraco retorno",IF(VLOOKUP(BP112,Fundamentus!A:U,17,FALSE)&gt;0.1,"Bom retorno","n/a"))</f>
        <v>Fraco retorno</v>
      </c>
      <c r="ES112" s="17" t="str">
        <f>IF(VLOOKUP(BP112,Fundamentus!A:U,16,FALSE)&lt;0.1,"Ineficiente",IF(VLOOKUP(BP112,Fundamentus!A:U,16,FALSE)&gt;0.1,"Eficiente","n/a"))</f>
        <v>Eficiente</v>
      </c>
      <c r="ET112" s="33" t="str">
        <f>IF(VLOOKUP(BP112,Fundamentus!A:U,16,FALSE)&lt;0.1,"Oper. Ineficiente",IF(VLOOKUP(BP112,Fundamentus!A:U,16,FALSE)&gt;0.1,"Oper.Eficiente","n/a"))</f>
        <v>Oper.Eficiente</v>
      </c>
      <c r="EU112" s="34">
        <f>VLOOKUP(BP112,Fundamentus!A:U,14,FALSE)</f>
        <v>0.33600000000000002</v>
      </c>
      <c r="EV112" s="17" t="str">
        <f>IF(VLOOKUP(BP112,Fundamentus!A:U,21,FALSE)&lt;0,"Negativo",IF(VLOOKUP(BP112,Fundamentus!A:U,21,FALSE)&lt;0.05,"Fraco",IF(VLOOKUP(BP112,Fundamentus!A:U,21,FALSE)&lt;0.1,"Bom",IF(VLOOKUP(BP112,Fundamentus!A:U,21,FALSE)&gt;0.1,"Muito bom","n/a"))))</f>
        <v>Muito bom</v>
      </c>
      <c r="EX112" s="29" t="str">
        <f>IF(VLOOKUP(BP112,Fundamentus!A:U,15,FALSE)&gt;1,"Bom",IF(VLOOKUP(BP112,Fundamentus!A:U,15,FALSE)&lt;1,"Ruim","n/a"))</f>
        <v>Bom</v>
      </c>
      <c r="EY112" s="17" t="str">
        <f>IF(VLOOKUP(BP112,Fundamentus!A:U,20,FALSE)&lt;0.5,"Baixa",IF(VLOOKUP(BP112,Fundamentus!A:U,20,FALSE)&lt;1,"Moderada",IF(VLOOKUP(BP112,Fundamentus!A:U,20,FALSE)&lt;2,"Alerta",IF(VLOOKUP(BP112,Fundamentus!A:U,20,FALSE)&gt;2,"Alta","n/a"))))</f>
        <v>Moderada</v>
      </c>
      <c r="EZ112" s="10"/>
    </row>
    <row r="113" spans="1:156" s="2" customFormat="1" ht="11.25" x14ac:dyDescent="0.2">
      <c r="A113" s="4">
        <v>10.25</v>
      </c>
      <c r="B113" s="4">
        <v>10.039999999999999</v>
      </c>
      <c r="C113" s="4">
        <v>9.89</v>
      </c>
      <c r="D113" s="4">
        <v>9.8800000000000008</v>
      </c>
      <c r="E113" s="4">
        <v>9.8800000000000008</v>
      </c>
      <c r="F113" s="4">
        <v>9.86</v>
      </c>
      <c r="G113" s="4">
        <v>9.8800000000000008</v>
      </c>
      <c r="H113" s="4">
        <v>9</v>
      </c>
      <c r="I113" s="4">
        <v>9.6</v>
      </c>
      <c r="J113" s="4">
        <v>9.8699999999999992</v>
      </c>
      <c r="K113" s="4">
        <v>10.06</v>
      </c>
      <c r="L113" s="4">
        <v>10.31</v>
      </c>
      <c r="M113" s="4">
        <v>10.57</v>
      </c>
      <c r="N113" s="4">
        <v>10.86</v>
      </c>
      <c r="O113" s="4">
        <v>11.5</v>
      </c>
      <c r="P113" s="4">
        <v>11.2</v>
      </c>
      <c r="Q113" s="4">
        <v>11.51</v>
      </c>
      <c r="R113" s="4">
        <v>11.17</v>
      </c>
      <c r="S113" s="4">
        <v>11.2</v>
      </c>
      <c r="T113" s="4">
        <v>11.07</v>
      </c>
      <c r="U113" s="4">
        <v>10.050000000000001</v>
      </c>
      <c r="V113" s="4">
        <v>9.99</v>
      </c>
      <c r="W113" s="4">
        <v>9.75</v>
      </c>
      <c r="X113" s="4">
        <v>9.41</v>
      </c>
      <c r="Y113" s="4">
        <v>9.15</v>
      </c>
      <c r="Z113" s="4">
        <v>9.4</v>
      </c>
      <c r="AA113" s="4">
        <v>9.89</v>
      </c>
      <c r="AB113" s="4">
        <v>9.9499999999999993</v>
      </c>
      <c r="AC113" s="4">
        <v>10.39</v>
      </c>
      <c r="AD113" s="4">
        <v>10.199999999999999</v>
      </c>
      <c r="AE113" s="4">
        <v>9.84</v>
      </c>
      <c r="AF113" s="4">
        <v>9.76</v>
      </c>
      <c r="AG113" s="4">
        <v>9.5500000000000007</v>
      </c>
      <c r="AH113" s="4">
        <v>9.4499999999999993</v>
      </c>
      <c r="AI113" s="4">
        <v>9.51</v>
      </c>
      <c r="AJ113" s="4">
        <v>9.11</v>
      </c>
      <c r="AK113" s="4">
        <v>9.42</v>
      </c>
      <c r="AL113" s="4">
        <v>9.49</v>
      </c>
      <c r="AM113" s="4">
        <v>9.9499999999999993</v>
      </c>
      <c r="AN113" s="4">
        <v>10.31</v>
      </c>
      <c r="AO113" s="4">
        <v>9.9499999999999993</v>
      </c>
      <c r="AP113" s="4">
        <v>9.9499999999999993</v>
      </c>
      <c r="AQ113" s="4">
        <v>9.61</v>
      </c>
      <c r="AR113" s="4">
        <v>7.83</v>
      </c>
      <c r="AS113" s="4">
        <v>7.62</v>
      </c>
      <c r="AT113" s="4">
        <v>7.81</v>
      </c>
      <c r="AU113" s="4">
        <v>7.86</v>
      </c>
      <c r="AV113" s="4">
        <v>7.8</v>
      </c>
      <c r="AW113" s="4">
        <v>7.51</v>
      </c>
      <c r="AX113" s="4">
        <v>7.43</v>
      </c>
      <c r="AY113" s="12">
        <v>7.55</v>
      </c>
      <c r="AZ113" s="12">
        <v>7.99</v>
      </c>
      <c r="BA113" s="12">
        <v>7.5</v>
      </c>
      <c r="BB113" s="15">
        <v>7.56</v>
      </c>
      <c r="BC113" s="52">
        <v>7.56</v>
      </c>
      <c r="BD113" s="52">
        <v>7.56</v>
      </c>
      <c r="BE113" s="52">
        <v>7.56</v>
      </c>
      <c r="BF113" s="52">
        <v>7.56</v>
      </c>
      <c r="BG113" s="67">
        <v>7.56</v>
      </c>
      <c r="BH113" s="52">
        <v>7.56</v>
      </c>
      <c r="BI113" s="52">
        <v>7.56</v>
      </c>
      <c r="BJ113" s="52">
        <v>7.56</v>
      </c>
      <c r="BK113" s="52">
        <v>7.56</v>
      </c>
      <c r="BL113" s="52">
        <v>7.56</v>
      </c>
      <c r="BM113" s="52">
        <v>7.56</v>
      </c>
      <c r="BN113" s="52">
        <v>7.56</v>
      </c>
      <c r="BO113" s="52">
        <v>7.56</v>
      </c>
      <c r="BP113" s="69" t="s">
        <v>109</v>
      </c>
      <c r="BQ113" s="36" cm="1">
        <f t="array" aca="1" ref="BQ113" ca="1">_FV(EC113,"Média de volume",TRUE)</f>
        <v>1133130</v>
      </c>
      <c r="BR113" s="36">
        <v>878200</v>
      </c>
      <c r="BS113" s="36" cm="1">
        <f t="array" aca="1" ref="BS113" ca="1">_FV(EC113,"Volume")</f>
        <v>878200</v>
      </c>
      <c r="BT113" s="24" cm="1">
        <f t="array" aca="1" ref="BT113" ca="1">_FV(EC113,"Beta")</f>
        <v>0.95050000000000001</v>
      </c>
      <c r="BU113" s="71" cm="1">
        <f t="array" aca="1" ref="BU113" ca="1">_FV(EC113,"Variação (%)",TRUE)</f>
        <v>2.849E-3</v>
      </c>
      <c r="BW113" s="17" cm="1">
        <f t="array" aca="1" ref="BW113" ca="1">_FV(EC113,"Baixo")</f>
        <v>7.03</v>
      </c>
      <c r="BX113" s="17" cm="1">
        <f t="array" aca="1" ref="BX113" ca="1">_FV(EC113,"Alto")</f>
        <v>7.19</v>
      </c>
      <c r="BY113" s="24"/>
      <c r="BZ113" s="63">
        <f>SQRT(22.5*(BO113/VLOOKUP(BP113,Fundamentus!A:U,3,FALSE))*(BO113/VLOOKUP(BP113,Fundamentus!A:U,4,FALSE)))</f>
        <v>9.6347304721501708</v>
      </c>
      <c r="CB113" s="62">
        <f t="shared" si="112"/>
        <v>0</v>
      </c>
      <c r="CC113" s="8"/>
      <c r="CD113" s="61">
        <f t="shared" si="113"/>
        <v>7.43</v>
      </c>
      <c r="CE113" s="61">
        <f t="shared" si="114"/>
        <v>11.51</v>
      </c>
      <c r="CF113" s="61">
        <f t="shared" si="115"/>
        <v>9.1948484848484728</v>
      </c>
      <c r="CG113" s="14"/>
      <c r="CH113" s="35">
        <f t="shared" si="98"/>
        <v>7.56</v>
      </c>
      <c r="CI113" s="15">
        <f t="shared" si="116"/>
        <v>7.56</v>
      </c>
      <c r="CJ113" s="35">
        <f t="shared" si="99"/>
        <v>7.56</v>
      </c>
      <c r="CL113" s="14"/>
      <c r="CM113" s="17">
        <f t="shared" si="100"/>
        <v>2.0766666666666644</v>
      </c>
      <c r="CN113" s="17">
        <f t="shared" si="101"/>
        <v>4.7533333333333321</v>
      </c>
      <c r="CO113" s="17">
        <f t="shared" si="102"/>
        <v>6.1566666666666645</v>
      </c>
      <c r="CP113" s="38">
        <f t="shared" si="117"/>
        <v>8.8333333333333321</v>
      </c>
      <c r="CQ113" s="17">
        <f t="shared" si="103"/>
        <v>10.236666666666665</v>
      </c>
      <c r="CR113" s="17">
        <f t="shared" si="104"/>
        <v>12.913333333333332</v>
      </c>
      <c r="CS113" s="17">
        <f t="shared" si="105"/>
        <v>14.316666666666665</v>
      </c>
      <c r="CT113" s="2" cm="1">
        <f t="array" ref="CT113">MAX(_xlfn._xlws.FILTER(CM113:CS113,CM113:CS113&lt;BO113))</f>
        <v>6.1566666666666645</v>
      </c>
      <c r="CU113" s="2" cm="1">
        <f t="array" ref="CU113">MIN(_xlfn._xlws.FILTER($CM113:$CS113,$CM113:$CS113&gt;BO113))</f>
        <v>8.8333333333333321</v>
      </c>
      <c r="CV113" s="16">
        <f t="shared" si="119"/>
        <v>0.43475906876015191</v>
      </c>
      <c r="CW113" s="20">
        <f t="shared" si="120"/>
        <v>-0.21737953438007596</v>
      </c>
      <c r="CX113" s="20">
        <f t="shared" si="121"/>
        <v>-0.1449196895867173</v>
      </c>
      <c r="CY113" s="20">
        <f t="shared" si="122"/>
        <v>-8.6951813752030385E-2</v>
      </c>
      <c r="CZ113" s="20">
        <f t="shared" si="123"/>
        <v>-4.8306563195572437E-2</v>
      </c>
      <c r="DA113" s="20">
        <f t="shared" si="124"/>
        <v>-2.5574062868244232E-2</v>
      </c>
      <c r="DB113" s="20">
        <f t="shared" si="125"/>
        <v>-1.3174517235156119E-2</v>
      </c>
      <c r="DC113" s="20">
        <f t="shared" si="126"/>
        <v>-6.6886010578484914E-3</v>
      </c>
      <c r="DD113" s="21">
        <f t="shared" si="127"/>
        <v>6.6886010578484914E-3</v>
      </c>
      <c r="DE113" s="21">
        <f t="shared" si="128"/>
        <v>1.3174517235156119E-2</v>
      </c>
      <c r="DF113" s="21">
        <f t="shared" si="129"/>
        <v>2.5574062868244232E-2</v>
      </c>
      <c r="DG113" s="21">
        <f t="shared" si="130"/>
        <v>4.8306563195572437E-2</v>
      </c>
      <c r="DH113" s="21">
        <f t="shared" si="131"/>
        <v>8.6951813752030385E-2</v>
      </c>
      <c r="DI113" s="21">
        <f t="shared" si="132"/>
        <v>0.1449196895867173</v>
      </c>
      <c r="DJ113" s="21">
        <f t="shared" si="133"/>
        <v>0.21737953438007596</v>
      </c>
      <c r="DL113" s="16" cm="1">
        <f t="array" aca="1" ref="DL113" ca="1">MAX(_xlfn._xlws.FILTER(CW113:DJ113,CW113:DJ113&lt;BU113))</f>
        <v>-6.6886010578484914E-3</v>
      </c>
      <c r="DM113" s="16" cm="1">
        <f t="array" aca="1" ref="DM113" ca="1">MIN(_xlfn._xlws.FILTER(CW113:DJ113,CW113:DJ113&gt;BU113))</f>
        <v>6.6886010578484914E-3</v>
      </c>
      <c r="DN113" s="2" cm="1">
        <f t="array" aca="1" ref="DN113" ca="1">_FV(EC113,"Fechamento anterior",TRUE)</f>
        <v>7.02</v>
      </c>
      <c r="DO113" s="28">
        <f t="shared" ca="1" si="106"/>
        <v>6.2503113325031565</v>
      </c>
      <c r="DP113" s="15">
        <f t="shared" ca="1" si="134"/>
        <v>6.9730460205739035</v>
      </c>
      <c r="DQ113" s="15">
        <f t="shared" ca="1" si="135"/>
        <v>7.0669539794260956</v>
      </c>
      <c r="DR113" s="9"/>
      <c r="DS113" s="9"/>
      <c r="DT113" s="9"/>
      <c r="DU113" s="89">
        <v>6.4859161773076273E-3</v>
      </c>
      <c r="DV113" s="89">
        <f t="shared" ca="1" si="107"/>
        <v>1.3377202115696983E-2</v>
      </c>
      <c r="DW113" s="72" t="e">
        <f t="shared" si="108"/>
        <v>#DIV/0!</v>
      </c>
      <c r="DX113" s="37"/>
      <c r="DY113" s="35">
        <f t="shared" si="118"/>
        <v>0</v>
      </c>
      <c r="DZ113" s="56"/>
      <c r="EA113" s="56"/>
      <c r="EC113" s="2" t="e" vm="112">
        <v>#VALUE!</v>
      </c>
      <c r="EE113" s="10" cm="1">
        <f t="array" aca="1" ref="EE113" ca="1">_FV(EC113,"Ações em circulação",TRUE)</f>
        <v>179720100</v>
      </c>
      <c r="EF113" s="18">
        <f>VLOOKUP(BP113,Fundamentus!A:U,5,FALSE)</f>
        <v>0.82499999999999996</v>
      </c>
      <c r="EG113" s="2">
        <f t="shared" ca="1" si="109"/>
        <v>1646889643.6363637</v>
      </c>
      <c r="EH113" s="17">
        <v>179346282.192</v>
      </c>
      <c r="EI113" s="17">
        <f t="shared" ca="1" si="110"/>
        <v>179346282.192</v>
      </c>
      <c r="EK113" s="16">
        <f t="shared" ca="1" si="97"/>
        <v>0</v>
      </c>
      <c r="EL113" s="32" t="str">
        <f>IF(VLOOKUP(BP113,Fundamentus!A:U,3,FALSE)&lt;15,"Bom",IF(VLOOKUP(BP113,Fundamentus!A:U,3,FALSE)&gt;15,"Ruim","n/a"))</f>
        <v>Bom</v>
      </c>
      <c r="EM113" s="28" t="str">
        <f>IF(VLOOKUP(BP113,Fundamentus!A:U,4,FALSE)&lt;1,"Baixo",IF(VLOOKUP(BP113,Fundamentus!A:U,4,FALSE)&lt;1.5,"Moderado",IF(VLOOKUP(BP113,Fundamentus!A:U,4,FALSE)&gt;1.5,"Alto","n/a")))</f>
        <v>Alto</v>
      </c>
      <c r="EN113" s="17" t="str">
        <f>IF(VLOOKUP(BP113,Fundamentus!A:U,8,FALSE)&lt;0,"Risco elevado",IF(VLOOKUP(BP113,Fundamentus!A:U,8,FALSE)&lt;1,"Saudável",IF(VLOOKUP(BP113,Fundamentus!A:U,8,FALSE)&lt;3,"Estável",IF(VLOOKUP(BP113,Fundamentus!A:U,8,FALSE)&gt;3,"Alerta","n/a"))))</f>
        <v>Estável</v>
      </c>
      <c r="EO113" s="28" t="str">
        <f t="shared" si="111"/>
        <v>Ruim</v>
      </c>
      <c r="EP113" s="17" t="str">
        <f>IF(VLOOKUP(BP113,Fundamentus!A:U,12,FALSE)&lt;2,"Subvalorizada",IF(VLOOKUP(BP113,Fundamentus!A:U,12,FALSE)&lt;6,"Muita barata",IF(VLOOKUP(BP113,Fundamentus!A:U,12,FALSE)&lt;6,"Barata",IF(VLOOKUP(BP113,Fundamentus!A:U,12,FALSE)&lt;8,"Atrativa",IF(VLOOKUP(BP113,Fundamentus!A:U,12,FALSE)&gt;8,"Supervalorizada","n/a")))))</f>
        <v>Muita barata</v>
      </c>
      <c r="ER113" s="17" t="str">
        <f>IF(VLOOKUP(BP113,Fundamentus!A:U,17,FALSE)&lt;0.1,"Fraco retorno",IF(VLOOKUP(BP113,Fundamentus!A:U,17,FALSE)&gt;0.1,"Bom retorno","n/a"))</f>
        <v>Bom retorno</v>
      </c>
      <c r="ES113" s="17" t="str">
        <f>IF(VLOOKUP(BP113,Fundamentus!A:U,16,FALSE)&lt;0.1,"Ineficiente",IF(VLOOKUP(BP113,Fundamentus!A:U,16,FALSE)&gt;0.1,"Eficiente","n/a"))</f>
        <v>Eficiente</v>
      </c>
      <c r="ET113" s="33" t="str">
        <f>IF(VLOOKUP(BP113,Fundamentus!A:U,16,FALSE)&lt;0.1,"Oper. Ineficiente",IF(VLOOKUP(BP113,Fundamentus!A:U,16,FALSE)&gt;0.1,"Oper.Eficiente","n/a"))</f>
        <v>Oper.Eficiente</v>
      </c>
      <c r="EU113" s="34">
        <f>VLOOKUP(BP113,Fundamentus!A:U,14,FALSE)</f>
        <v>0.1089</v>
      </c>
      <c r="EV113" s="17" t="str">
        <f>IF(VLOOKUP(BP113,Fundamentus!A:U,21,FALSE)&lt;0,"Negativo",IF(VLOOKUP(BP113,Fundamentus!A:U,21,FALSE)&lt;0.05,"Fraco",IF(VLOOKUP(BP113,Fundamentus!A:U,21,FALSE)&lt;0.1,"Bom",IF(VLOOKUP(BP113,Fundamentus!A:U,21,FALSE)&gt;0.1,"Muito bom","n/a"))))</f>
        <v>Muito bom</v>
      </c>
      <c r="EX113" s="29" t="str">
        <f>IF(VLOOKUP(BP113,Fundamentus!A:U,15,FALSE)&gt;1,"Bom",IF(VLOOKUP(BP113,Fundamentus!A:U,15,FALSE)&lt;1,"Ruim","n/a"))</f>
        <v>Bom</v>
      </c>
      <c r="EY113" s="17" t="str">
        <f>IF(VLOOKUP(BP113,Fundamentus!A:U,20,FALSE)&lt;0.5,"Baixa",IF(VLOOKUP(BP113,Fundamentus!A:U,20,FALSE)&lt;1,"Moderada",IF(VLOOKUP(BP113,Fundamentus!A:U,20,FALSE)&lt;2,"Alerta",IF(VLOOKUP(BP113,Fundamentus!A:U,20,FALSE)&gt;2,"Alta","n/a"))))</f>
        <v>Baixa</v>
      </c>
      <c r="EZ113" s="10"/>
    </row>
    <row r="114" spans="1:156" s="2" customFormat="1" ht="11.25" x14ac:dyDescent="0.2">
      <c r="A114" s="4">
        <v>16.399999999999999</v>
      </c>
      <c r="B114" s="4">
        <v>15.76</v>
      </c>
      <c r="C114" s="4">
        <v>14.73</v>
      </c>
      <c r="D114" s="4">
        <v>13.36</v>
      </c>
      <c r="E114" s="4">
        <v>13.12</v>
      </c>
      <c r="F114" s="4">
        <v>13.17</v>
      </c>
      <c r="G114" s="4">
        <v>12.79</v>
      </c>
      <c r="H114" s="4">
        <v>12.53</v>
      </c>
      <c r="I114" s="4">
        <v>12.53</v>
      </c>
      <c r="J114" s="4">
        <v>13.35</v>
      </c>
      <c r="K114" s="4">
        <v>13.55</v>
      </c>
      <c r="L114" s="4">
        <v>13.05</v>
      </c>
      <c r="M114" s="4">
        <v>13.33</v>
      </c>
      <c r="N114" s="4">
        <v>13.76</v>
      </c>
      <c r="O114" s="4">
        <v>15.45</v>
      </c>
      <c r="P114" s="4">
        <v>16.03</v>
      </c>
      <c r="Q114" s="4">
        <v>17.75</v>
      </c>
      <c r="R114" s="4">
        <v>17.010000000000002</v>
      </c>
      <c r="S114" s="4">
        <v>17.72</v>
      </c>
      <c r="T114" s="4">
        <v>18.940000000000001</v>
      </c>
      <c r="U114" s="4">
        <v>18.04</v>
      </c>
      <c r="V114" s="4">
        <v>17.829999999999998</v>
      </c>
      <c r="W114" s="4">
        <v>18.11</v>
      </c>
      <c r="X114" s="4">
        <v>18.71</v>
      </c>
      <c r="Y114" s="4">
        <v>18.100000000000001</v>
      </c>
      <c r="Z114" s="4">
        <v>18.47</v>
      </c>
      <c r="AA114" s="4">
        <v>18.11</v>
      </c>
      <c r="AB114" s="4">
        <v>16.97</v>
      </c>
      <c r="AC114" s="4">
        <v>16.489999999999998</v>
      </c>
      <c r="AD114" s="4">
        <v>16.149999999999999</v>
      </c>
      <c r="AE114" s="4">
        <v>15.07</v>
      </c>
      <c r="AF114" s="4">
        <v>15.63</v>
      </c>
      <c r="AG114" s="4">
        <v>13.66</v>
      </c>
      <c r="AH114" s="4">
        <v>12.63</v>
      </c>
      <c r="AI114" s="4">
        <v>12.22</v>
      </c>
      <c r="AJ114" s="4">
        <v>12.15</v>
      </c>
      <c r="AK114" s="4">
        <v>12.84</v>
      </c>
      <c r="AL114" s="4">
        <v>12.33</v>
      </c>
      <c r="AM114" s="4">
        <v>13.17</v>
      </c>
      <c r="AN114" s="4">
        <v>13.65</v>
      </c>
      <c r="AO114" s="4">
        <v>12.83</v>
      </c>
      <c r="AP114" s="4">
        <v>13.65</v>
      </c>
      <c r="AQ114" s="4">
        <v>11.79</v>
      </c>
      <c r="AR114" s="4">
        <v>11.33</v>
      </c>
      <c r="AS114" s="4">
        <v>11.92</v>
      </c>
      <c r="AT114" s="4">
        <v>12.03</v>
      </c>
      <c r="AU114" s="4">
        <v>12.265000000000001</v>
      </c>
      <c r="AV114" s="4">
        <v>12.54</v>
      </c>
      <c r="AW114" s="4">
        <v>12.65</v>
      </c>
      <c r="AX114" s="4">
        <v>12.8</v>
      </c>
      <c r="AY114" s="12">
        <v>12.8</v>
      </c>
      <c r="AZ114" s="12">
        <v>13.84</v>
      </c>
      <c r="BA114" s="12">
        <v>14.61</v>
      </c>
      <c r="BB114" s="15">
        <v>15.44</v>
      </c>
      <c r="BC114" s="52">
        <v>17.420000000000002</v>
      </c>
      <c r="BD114" s="52">
        <v>17.600000000000001</v>
      </c>
      <c r="BE114" s="52">
        <v>18.16</v>
      </c>
      <c r="BF114" s="52">
        <v>17.559999999999999</v>
      </c>
      <c r="BG114" s="67">
        <v>18.36</v>
      </c>
      <c r="BH114" s="52">
        <v>18.559999999999999</v>
      </c>
      <c r="BI114" s="52">
        <v>19.559999999999999</v>
      </c>
      <c r="BJ114" s="52">
        <v>19.34</v>
      </c>
      <c r="BK114" s="52">
        <v>18.600000000000001</v>
      </c>
      <c r="BL114" s="52">
        <v>17.73</v>
      </c>
      <c r="BM114" s="52">
        <v>16.72</v>
      </c>
      <c r="BN114" s="52">
        <v>16.489999999999998</v>
      </c>
      <c r="BO114" s="52" cm="1">
        <f t="array" aca="1" ref="BO114" ca="1">_FV(EC114,"Preço")</f>
        <v>16.489999999999998</v>
      </c>
      <c r="BP114" s="69" t="s">
        <v>205</v>
      </c>
      <c r="BQ114" s="36" cm="1">
        <f t="array" aca="1" ref="BQ114" ca="1">_FV(EC114,"Média de volume",TRUE)</f>
        <v>12695340</v>
      </c>
      <c r="BR114" s="36">
        <v>13688100</v>
      </c>
      <c r="BS114" s="36" cm="1">
        <f t="array" aca="1" ref="BS114" ca="1">_FV(EC114,"Volume")</f>
        <v>13688100</v>
      </c>
      <c r="BT114" s="24" cm="1">
        <f t="array" aca="1" ref="BT114" ca="1">_FV(EC114,"Beta")</f>
        <v>1.7902</v>
      </c>
      <c r="BU114" s="71" cm="1">
        <f t="array" aca="1" ref="BU114" ca="1">_FV(EC114,"Variação (%)",TRUE)</f>
        <v>1.3522000000000001E-2</v>
      </c>
      <c r="BW114" s="17" cm="1">
        <f t="array" aca="1" ref="BW114" ca="1">_FV(EC114,"Baixo")</f>
        <v>16.28</v>
      </c>
      <c r="BX114" s="17" cm="1">
        <f t="array" aca="1" ref="BX114" ca="1">_FV(EC114,"Alto")</f>
        <v>16.940000000000001</v>
      </c>
      <c r="BY114" s="24"/>
      <c r="BZ114" s="63">
        <f ca="1">SQRT(22.5*(BO114/VLOOKUP(BP114,Fundamentus!A:U,3,FALSE))*(BO114/VLOOKUP(BP114,Fundamentus!A:U,4,FALSE)))</f>
        <v>15.168796071481259</v>
      </c>
      <c r="CB114" s="62">
        <f t="shared" ca="1" si="112"/>
        <v>0</v>
      </c>
      <c r="CC114" s="8"/>
      <c r="CD114" s="61">
        <f t="shared" si="113"/>
        <v>11.33</v>
      </c>
      <c r="CE114" s="61">
        <f t="shared" si="114"/>
        <v>19.559999999999999</v>
      </c>
      <c r="CF114" s="61">
        <f t="shared" si="115"/>
        <v>15.170530303030301</v>
      </c>
      <c r="CG114" s="14"/>
      <c r="CH114" s="35">
        <f t="shared" si="98"/>
        <v>13.378158385148858</v>
      </c>
      <c r="CI114" s="15">
        <f t="shared" si="116"/>
        <v>15.550000000000182</v>
      </c>
      <c r="CJ114" s="35">
        <f t="shared" si="99"/>
        <v>17.721841614851506</v>
      </c>
      <c r="CL114" s="14"/>
      <c r="CM114" s="17">
        <f t="shared" si="100"/>
        <v>3.7966666666666651</v>
      </c>
      <c r="CN114" s="17">
        <f t="shared" si="101"/>
        <v>7.5633333333333326</v>
      </c>
      <c r="CO114" s="17">
        <f t="shared" si="102"/>
        <v>12.026666666666664</v>
      </c>
      <c r="CP114" s="38">
        <f t="shared" si="117"/>
        <v>15.793333333333331</v>
      </c>
      <c r="CQ114" s="17">
        <f t="shared" si="103"/>
        <v>20.256666666666661</v>
      </c>
      <c r="CR114" s="17">
        <f t="shared" si="104"/>
        <v>24.02333333333333</v>
      </c>
      <c r="CS114" s="17">
        <f t="shared" si="105"/>
        <v>28.486666666666661</v>
      </c>
      <c r="CT114" s="2" cm="1">
        <f t="array" aca="1" ref="CT114" ca="1">MAX(_xlfn._xlws.FILTER(CM114:CS114,CM114:CS114&lt;BO114))</f>
        <v>15.793333333333331</v>
      </c>
      <c r="CU114" s="2" cm="1">
        <f t="array" aca="1" ref="CU114" ca="1">MIN(_xlfn._xlws.FILTER($CM114:$CS114,$CM114:$CS114&gt;BO114))</f>
        <v>20.256666666666661</v>
      </c>
      <c r="CV114" s="16">
        <f t="shared" ca="1" si="119"/>
        <v>0.28260869565217361</v>
      </c>
      <c r="CW114" s="20">
        <f t="shared" ca="1" si="120"/>
        <v>-0.14130434782608681</v>
      </c>
      <c r="CX114" s="20">
        <f t="shared" ca="1" si="121"/>
        <v>-9.4202898550724543E-2</v>
      </c>
      <c r="CY114" s="20">
        <f t="shared" ca="1" si="122"/>
        <v>-5.652173913043472E-2</v>
      </c>
      <c r="CZ114" s="20">
        <f t="shared" ca="1" si="123"/>
        <v>-3.1400966183574845E-2</v>
      </c>
      <c r="DA114" s="20">
        <f t="shared" ca="1" si="124"/>
        <v>-1.6624040920716093E-2</v>
      </c>
      <c r="DB114" s="20">
        <f t="shared" ca="1" si="125"/>
        <v>-8.5638998682476854E-3</v>
      </c>
      <c r="DC114" s="20">
        <f t="shared" ca="1" si="126"/>
        <v>-4.3478260869565175E-3</v>
      </c>
      <c r="DD114" s="21">
        <f t="shared" ca="1" si="127"/>
        <v>4.3478260869565175E-3</v>
      </c>
      <c r="DE114" s="21">
        <f t="shared" ca="1" si="128"/>
        <v>8.5638998682476854E-3</v>
      </c>
      <c r="DF114" s="21">
        <f t="shared" ca="1" si="129"/>
        <v>1.6624040920716093E-2</v>
      </c>
      <c r="DG114" s="21">
        <f t="shared" ca="1" si="130"/>
        <v>3.1400966183574845E-2</v>
      </c>
      <c r="DH114" s="21">
        <f t="shared" ca="1" si="131"/>
        <v>5.652173913043472E-2</v>
      </c>
      <c r="DI114" s="21">
        <f t="shared" ca="1" si="132"/>
        <v>9.4202898550724543E-2</v>
      </c>
      <c r="DJ114" s="21">
        <f t="shared" ca="1" si="133"/>
        <v>0.14130434782608681</v>
      </c>
      <c r="DL114" s="16" cm="1">
        <f t="array" aca="1" ref="DL114" ca="1">MAX(_xlfn._xlws.FILTER(CW114:DJ114,CW114:DJ114&lt;BU114))</f>
        <v>8.5638998682476854E-3</v>
      </c>
      <c r="DM114" s="16" cm="1">
        <f t="array" aca="1" ref="DM114" ca="1">MIN(_xlfn._xlws.FILTER(CW114:DJ114,CW114:DJ114&gt;BU114))</f>
        <v>1.6624040920716093E-2</v>
      </c>
      <c r="DN114" s="2" cm="1">
        <f t="array" aca="1" ref="DN114" ca="1">_FV(EC114,"Fechamento anterior",TRUE)</f>
        <v>16.27</v>
      </c>
      <c r="DO114" s="28">
        <f t="shared" ca="1" si="106"/>
        <v>0.6151157155689887</v>
      </c>
      <c r="DP114" s="15">
        <f t="shared" ca="1" si="134"/>
        <v>16.40933465085639</v>
      </c>
      <c r="DQ114" s="15">
        <f t="shared" ca="1" si="135"/>
        <v>16.540473145780052</v>
      </c>
      <c r="DR114" s="9"/>
      <c r="DS114" s="9"/>
      <c r="DT114" s="9"/>
      <c r="DU114" s="89">
        <v>1.5733593588264871E-2</v>
      </c>
      <c r="DV114" s="89">
        <f t="shared" ca="1" si="107"/>
        <v>8.0601410524684079E-3</v>
      </c>
      <c r="DW114" s="72">
        <f t="shared" ca="1" si="108"/>
        <v>0.43281240840583363</v>
      </c>
      <c r="DX114" s="37"/>
      <c r="DY114" s="35">
        <f t="shared" si="118"/>
        <v>1.0859208074256621</v>
      </c>
      <c r="DZ114" s="56"/>
      <c r="EA114" s="56"/>
      <c r="EC114" s="2" t="e" vm="113">
        <v>#VALUE!</v>
      </c>
      <c r="EE114" s="10" cm="1">
        <f t="array" aca="1" ref="EE114" ca="1">_FV(EC114,"Ações em circulação",TRUE)</f>
        <v>1059715000</v>
      </c>
      <c r="EF114" s="18">
        <f>VLOOKUP(BP114,Fundamentus!A:U,5,FALSE)</f>
        <v>1.264</v>
      </c>
      <c r="EG114" s="2">
        <f t="shared" ca="1" si="109"/>
        <v>13824921162.974684</v>
      </c>
      <c r="EH114" s="17">
        <v>1195855680.5973101</v>
      </c>
      <c r="EI114" s="17">
        <f t="shared" ca="1" si="110"/>
        <v>1195855680.5973101</v>
      </c>
      <c r="EK114" s="16">
        <f t="shared" ca="1" si="97"/>
        <v>0</v>
      </c>
      <c r="EL114" s="32" t="str">
        <f>IF(VLOOKUP(BP114,Fundamentus!A:U,3,FALSE)&lt;15,"Bom",IF(VLOOKUP(BP114,Fundamentus!A:U,3,FALSE)&gt;15,"Ruim","n/a"))</f>
        <v>Bom</v>
      </c>
      <c r="EM114" s="28" t="str">
        <f>IF(VLOOKUP(BP114,Fundamentus!A:U,4,FALSE)&lt;1,"Baixo",IF(VLOOKUP(BP114,Fundamentus!A:U,4,FALSE)&lt;1.5,"Moderado",IF(VLOOKUP(BP114,Fundamentus!A:U,4,FALSE)&gt;1.5,"Alto","n/a")))</f>
        <v>Alto</v>
      </c>
      <c r="EN114" s="17" t="str">
        <f>IF(VLOOKUP(BP114,Fundamentus!A:U,8,FALSE)&lt;0,"Risco elevado",IF(VLOOKUP(BP114,Fundamentus!A:U,8,FALSE)&lt;1,"Saudável",IF(VLOOKUP(BP114,Fundamentus!A:U,8,FALSE)&lt;3,"Estável",IF(VLOOKUP(BP114,Fundamentus!A:U,8,FALSE)&gt;3,"Alerta","n/a"))))</f>
        <v>Alerta</v>
      </c>
      <c r="EO114" s="28" t="str">
        <f t="shared" si="111"/>
        <v>Bom</v>
      </c>
      <c r="EP114" s="17" t="str">
        <f>IF(VLOOKUP(BP114,Fundamentus!A:U,12,FALSE)&lt;2,"Subvalorizada",IF(VLOOKUP(BP114,Fundamentus!A:U,12,FALSE)&lt;6,"Muita barata",IF(VLOOKUP(BP114,Fundamentus!A:U,12,FALSE)&lt;6,"Barata",IF(VLOOKUP(BP114,Fundamentus!A:U,12,FALSE)&lt;8,"Atrativa",IF(VLOOKUP(BP114,Fundamentus!A:U,12,FALSE)&gt;8,"Supervalorizada","n/a")))))</f>
        <v>Muita barata</v>
      </c>
      <c r="ER114" s="17" t="str">
        <f>IF(VLOOKUP(BP114,Fundamentus!A:U,17,FALSE)&lt;0.1,"Fraco retorno",IF(VLOOKUP(BP114,Fundamentus!A:U,17,FALSE)&gt;0.1,"Bom retorno","n/a"))</f>
        <v>Bom retorno</v>
      </c>
      <c r="ES114" s="17" t="str">
        <f>IF(VLOOKUP(BP114,Fundamentus!A:U,16,FALSE)&lt;0.1,"Ineficiente",IF(VLOOKUP(BP114,Fundamentus!A:U,16,FALSE)&gt;0.1,"Eficiente","n/a"))</f>
        <v>Eficiente</v>
      </c>
      <c r="ET114" s="33" t="str">
        <f>IF(VLOOKUP(BP114,Fundamentus!A:U,16,FALSE)&lt;0.1,"Oper. Ineficiente",IF(VLOOKUP(BP114,Fundamentus!A:U,16,FALSE)&gt;0.1,"Oper.Eficiente","n/a"))</f>
        <v>Oper.Eficiente</v>
      </c>
      <c r="EU114" s="34">
        <f>VLOOKUP(BP114,Fundamentus!A:U,14,FALSE)</f>
        <v>8.6499999999999994E-2</v>
      </c>
      <c r="EV114" s="17" t="str">
        <f>IF(VLOOKUP(BP114,Fundamentus!A:U,21,FALSE)&lt;0,"Negativo",IF(VLOOKUP(BP114,Fundamentus!A:U,21,FALSE)&lt;0.05,"Fraco",IF(VLOOKUP(BP114,Fundamentus!A:U,21,FALSE)&lt;0.1,"Bom",IF(VLOOKUP(BP114,Fundamentus!A:U,21,FALSE)&gt;0.1,"Muito bom","n/a"))))</f>
        <v>Muito bom</v>
      </c>
      <c r="EX114" s="29" t="str">
        <f>IF(VLOOKUP(BP114,Fundamentus!A:U,15,FALSE)&gt;1,"Bom",IF(VLOOKUP(BP114,Fundamentus!A:U,15,FALSE)&lt;1,"Ruim","n/a"))</f>
        <v>Bom</v>
      </c>
      <c r="EY114" s="17" t="str">
        <f>IF(VLOOKUP(BP114,Fundamentus!A:U,20,FALSE)&lt;0.5,"Baixa",IF(VLOOKUP(BP114,Fundamentus!A:U,20,FALSE)&lt;1,"Moderada",IF(VLOOKUP(BP114,Fundamentus!A:U,20,FALSE)&lt;2,"Alerta",IF(VLOOKUP(BP114,Fundamentus!A:U,20,FALSE)&gt;2,"Alta","n/a"))))</f>
        <v>Baixa</v>
      </c>
      <c r="EZ114" s="10">
        <v>1</v>
      </c>
    </row>
    <row r="115" spans="1:156" s="2" customFormat="1" ht="11.25" x14ac:dyDescent="0.2">
      <c r="A115" s="4">
        <v>9.56</v>
      </c>
      <c r="B115" s="4">
        <v>10.4</v>
      </c>
      <c r="C115" s="4">
        <v>11.52</v>
      </c>
      <c r="D115" s="4">
        <v>11.68</v>
      </c>
      <c r="E115" s="4">
        <v>11.23</v>
      </c>
      <c r="F115" s="4">
        <v>11.12</v>
      </c>
      <c r="G115" s="4">
        <v>10.52</v>
      </c>
      <c r="H115" s="4">
        <v>11.25</v>
      </c>
      <c r="I115" s="4">
        <v>12.27</v>
      </c>
      <c r="J115" s="4">
        <v>12.33</v>
      </c>
      <c r="K115" s="4">
        <v>12.26</v>
      </c>
      <c r="L115" s="4">
        <v>11.2</v>
      </c>
      <c r="M115" s="4">
        <v>11.35</v>
      </c>
      <c r="N115" s="4">
        <v>11.52</v>
      </c>
      <c r="O115" s="4">
        <v>12.12</v>
      </c>
      <c r="P115" s="4">
        <v>12.88</v>
      </c>
      <c r="Q115" s="4">
        <v>14.56</v>
      </c>
      <c r="R115" s="4">
        <v>14.56</v>
      </c>
      <c r="S115" s="4">
        <v>14.48</v>
      </c>
      <c r="T115" s="4">
        <v>14.42</v>
      </c>
      <c r="U115" s="4">
        <v>14.26</v>
      </c>
      <c r="V115" s="4">
        <v>13.84</v>
      </c>
      <c r="W115" s="4">
        <v>13.46</v>
      </c>
      <c r="X115" s="4">
        <v>12.7</v>
      </c>
      <c r="Y115" s="4">
        <v>14.5</v>
      </c>
      <c r="Z115" s="4">
        <v>14.45</v>
      </c>
      <c r="AA115" s="4">
        <v>15.37</v>
      </c>
      <c r="AB115" s="4">
        <v>15.08</v>
      </c>
      <c r="AC115" s="4">
        <v>16.899999999999999</v>
      </c>
      <c r="AD115" s="4">
        <v>18.2</v>
      </c>
      <c r="AE115" s="4">
        <v>18.77</v>
      </c>
      <c r="AF115" s="4">
        <v>19.489999999999998</v>
      </c>
      <c r="AG115" s="4">
        <v>16.64</v>
      </c>
      <c r="AH115" s="4">
        <v>16.66</v>
      </c>
      <c r="AI115" s="4">
        <v>16.600000000000001</v>
      </c>
      <c r="AJ115" s="4">
        <v>16.850000000000001</v>
      </c>
      <c r="AK115" s="4">
        <v>16.86</v>
      </c>
      <c r="AL115" s="4">
        <v>15.48</v>
      </c>
      <c r="AM115" s="4">
        <v>15.65</v>
      </c>
      <c r="AN115" s="4">
        <v>15.89</v>
      </c>
      <c r="AO115" s="4">
        <v>14.84</v>
      </c>
      <c r="AP115" s="4">
        <v>14.44</v>
      </c>
      <c r="AQ115" s="4">
        <v>13.79</v>
      </c>
      <c r="AR115" s="4">
        <v>13.63</v>
      </c>
      <c r="AS115" s="4">
        <v>14.85</v>
      </c>
      <c r="AT115" s="4">
        <v>15.26</v>
      </c>
      <c r="AU115" s="4">
        <v>17.484999999999999</v>
      </c>
      <c r="AV115" s="4">
        <v>18.059999999999999</v>
      </c>
      <c r="AW115" s="4">
        <v>18.55</v>
      </c>
      <c r="AX115" s="4">
        <v>20.16</v>
      </c>
      <c r="AY115" s="12">
        <v>20.7</v>
      </c>
      <c r="AZ115" s="12">
        <v>22.85</v>
      </c>
      <c r="BA115" s="12">
        <v>21.48</v>
      </c>
      <c r="BB115" s="15">
        <v>20.45</v>
      </c>
      <c r="BC115" s="52">
        <v>20.66</v>
      </c>
      <c r="BD115" s="52">
        <v>24.84</v>
      </c>
      <c r="BE115" s="52">
        <v>25.41</v>
      </c>
      <c r="BF115" s="52">
        <v>24.53</v>
      </c>
      <c r="BG115" s="67">
        <v>25.18</v>
      </c>
      <c r="BH115" s="52">
        <v>23.32</v>
      </c>
      <c r="BI115" s="52">
        <v>22.5</v>
      </c>
      <c r="BJ115" s="52">
        <v>22.23</v>
      </c>
      <c r="BK115" s="52">
        <v>23</v>
      </c>
      <c r="BL115" s="52">
        <v>22.64</v>
      </c>
      <c r="BM115" s="52">
        <v>23.26</v>
      </c>
      <c r="BN115" s="52">
        <v>21.42</v>
      </c>
      <c r="BO115" s="52" cm="1">
        <f t="array" aca="1" ref="BO115" ca="1">_FV(EC115,"Preço")</f>
        <v>21.42</v>
      </c>
      <c r="BP115" s="69" t="s">
        <v>111</v>
      </c>
      <c r="BQ115" s="36" cm="1">
        <f t="array" aca="1" ref="BQ115" ca="1">_FV(EC115,"Média de volume",TRUE)</f>
        <v>4959880</v>
      </c>
      <c r="BR115" s="36">
        <v>7770200</v>
      </c>
      <c r="BS115" s="36" cm="1">
        <f t="array" aca="1" ref="BS115" ca="1">_FV(EC115,"Volume")</f>
        <v>7770200</v>
      </c>
      <c r="BT115" s="24" cm="1">
        <f t="array" aca="1" ref="BT115" ca="1">_FV(EC115,"Beta")</f>
        <v>0.98960000000000004</v>
      </c>
      <c r="BU115" s="71" cm="1">
        <f t="array" aca="1" ref="BU115" ca="1">_FV(EC115,"Variação (%)",TRUE)</f>
        <v>5.6340000000000001E-3</v>
      </c>
      <c r="BW115" s="17" cm="1">
        <f t="array" aca="1" ref="BW115" ca="1">_FV(EC115,"Baixo")</f>
        <v>20.85</v>
      </c>
      <c r="BX115" s="17" cm="1">
        <f t="array" aca="1" ref="BX115" ca="1">_FV(EC115,"Alto")</f>
        <v>22.45</v>
      </c>
      <c r="BY115" s="24"/>
      <c r="BZ115" s="63">
        <f ca="1">SQRT(22.5*(BO115/VLOOKUP(BP115,Fundamentus!A:U,3,FALSE))*(BO115/VLOOKUP(BP115,Fundamentus!A:U,4,FALSE)))</f>
        <v>14.381317291700665</v>
      </c>
      <c r="CB115" s="62">
        <f t="shared" ca="1" si="112"/>
        <v>0</v>
      </c>
      <c r="CC115" s="8"/>
      <c r="CD115" s="61">
        <f t="shared" si="113"/>
        <v>9.56</v>
      </c>
      <c r="CE115" s="61">
        <f t="shared" si="114"/>
        <v>25.41</v>
      </c>
      <c r="CF115" s="61">
        <f t="shared" si="115"/>
        <v>16.430530303030302</v>
      </c>
      <c r="CG115" s="14"/>
      <c r="CH115" s="35">
        <f t="shared" si="98"/>
        <v>20.258179579043315</v>
      </c>
      <c r="CI115" s="15">
        <f t="shared" si="116"/>
        <v>21.549999999999727</v>
      </c>
      <c r="CJ115" s="35">
        <f t="shared" si="99"/>
        <v>22.84182042095614</v>
      </c>
      <c r="CL115" s="14"/>
      <c r="CM115" s="17">
        <f t="shared" si="100"/>
        <v>-3.6666666666666661</v>
      </c>
      <c r="CN115" s="17">
        <f t="shared" si="101"/>
        <v>2.9466666666666672</v>
      </c>
      <c r="CO115" s="17">
        <f t="shared" si="102"/>
        <v>12.183333333333334</v>
      </c>
      <c r="CP115" s="38">
        <f t="shared" si="117"/>
        <v>18.796666666666667</v>
      </c>
      <c r="CQ115" s="17">
        <f t="shared" si="103"/>
        <v>28.033333333333331</v>
      </c>
      <c r="CR115" s="17">
        <f t="shared" si="104"/>
        <v>34.646666666666668</v>
      </c>
      <c r="CS115" s="17">
        <f t="shared" si="105"/>
        <v>43.883333333333333</v>
      </c>
      <c r="CT115" s="2" cm="1">
        <f t="array" aca="1" ref="CT115" ca="1">MAX(_xlfn._xlws.FILTER(CM115:CS115,CM115:CS115&lt;BO115))</f>
        <v>18.796666666666667</v>
      </c>
      <c r="CU115" s="2" cm="1">
        <f t="array" aca="1" ref="CU115" ca="1">MIN(_xlfn._xlws.FILTER($CM115:$CS115,$CM115:$CS115&gt;BO115))</f>
        <v>28.033333333333331</v>
      </c>
      <c r="CV115" s="16">
        <f t="shared" ref="CV115:CV146" ca="1" si="136">(CU115/CT115)-1</f>
        <v>0.49139918425252693</v>
      </c>
      <c r="CW115" s="20">
        <f t="shared" ref="CW115:CW146" ca="1" si="137">-$CV115/2</f>
        <v>-0.24569959212626347</v>
      </c>
      <c r="CX115" s="20">
        <f t="shared" ref="CX115:CX146" ca="1" si="138">-$CV115/3</f>
        <v>-0.16379972808417564</v>
      </c>
      <c r="CY115" s="20">
        <f t="shared" ref="CY115:CY146" ca="1" si="139">-$CV115/5</f>
        <v>-9.8279836850505384E-2</v>
      </c>
      <c r="CZ115" s="20">
        <f t="shared" ref="CZ115:CZ146" ca="1" si="140">-$CV115/9</f>
        <v>-5.4599909361391884E-2</v>
      </c>
      <c r="DA115" s="20">
        <f t="shared" ref="DA115:DA146" ca="1" si="141">-$CV115/17</f>
        <v>-2.8905834367795702E-2</v>
      </c>
      <c r="DB115" s="20">
        <f t="shared" ref="DB115:DB146" ca="1" si="142">-$CV115/33</f>
        <v>-1.4890884371288694E-2</v>
      </c>
      <c r="DC115" s="20">
        <f t="shared" ref="DC115:DC146" ca="1" si="143">-$CV115/65</f>
        <v>-7.5599874500388757E-3</v>
      </c>
      <c r="DD115" s="21">
        <f t="shared" ref="DD115:DD146" ca="1" si="144">-$CV115/65*-1</f>
        <v>7.5599874500388757E-3</v>
      </c>
      <c r="DE115" s="21">
        <f t="shared" ref="DE115:DE146" ca="1" si="145">-$CV115/33*-1</f>
        <v>1.4890884371288694E-2</v>
      </c>
      <c r="DF115" s="21">
        <f t="shared" ref="DF115:DF146" ca="1" si="146">-$CV115/17*-1</f>
        <v>2.8905834367795702E-2</v>
      </c>
      <c r="DG115" s="21">
        <f t="shared" ref="DG115:DG146" ca="1" si="147">-$CV115/9*-1</f>
        <v>5.4599909361391884E-2</v>
      </c>
      <c r="DH115" s="21">
        <f t="shared" ref="DH115:DH146" ca="1" si="148">-$CV115/5*-1</f>
        <v>9.8279836850505384E-2</v>
      </c>
      <c r="DI115" s="21">
        <f t="shared" ref="DI115:DI146" ca="1" si="149">-$CV115/3*-1</f>
        <v>0.16379972808417564</v>
      </c>
      <c r="DJ115" s="21">
        <f t="shared" ref="DJ115:DJ146" ca="1" si="150">-$CV115/2*-1</f>
        <v>0.24569959212626347</v>
      </c>
      <c r="DL115" s="16" cm="1">
        <f t="array" aca="1" ref="DL115" ca="1">MAX(_xlfn._xlws.FILTER(CW115:DJ115,CW115:DJ115&lt;BU115))</f>
        <v>-7.5599874500388757E-3</v>
      </c>
      <c r="DM115" s="16" cm="1">
        <f t="array" aca="1" ref="DM115" ca="1">MIN(_xlfn._xlws.FILTER(CW115:DJ115,CW115:DJ115&gt;BU115))</f>
        <v>7.5599874500388757E-3</v>
      </c>
      <c r="DN115" s="2" cm="1">
        <f t="array" aca="1" ref="DN115" ca="1">_FV(EC115,"Fechamento anterior",TRUE)</f>
        <v>21.3</v>
      </c>
      <c r="DO115" s="28">
        <f t="shared" ca="1" si="106"/>
        <v>0.87260662495362395</v>
      </c>
      <c r="DP115" s="15">
        <f t="shared" ref="DP115:DP146" ca="1" si="151">DN115+(DN115*DL115)</f>
        <v>21.138972267314173</v>
      </c>
      <c r="DQ115" s="15">
        <f t="shared" ref="DQ115:DQ146" ca="1" si="152">DN115+(DN115*DM115)</f>
        <v>21.461027732685828</v>
      </c>
      <c r="DR115" s="9"/>
      <c r="DS115" s="9"/>
      <c r="DT115" s="9"/>
      <c r="DU115" s="89">
        <v>7.4915768718927878E-3</v>
      </c>
      <c r="DV115" s="89">
        <f t="shared" ca="1" si="107"/>
        <v>1.5119974900077751E-2</v>
      </c>
      <c r="DW115" s="72">
        <f t="shared" ca="1" si="108"/>
        <v>-0.10063318236096518</v>
      </c>
      <c r="DX115" s="37"/>
      <c r="DY115" s="35">
        <f t="shared" si="118"/>
        <v>0.64591021047820552</v>
      </c>
      <c r="DZ115" s="56"/>
      <c r="EA115" s="56"/>
      <c r="EC115" s="2" t="e" vm="114">
        <v>#VALUE!</v>
      </c>
      <c r="EE115" s="10" cm="1">
        <f t="array" aca="1" ref="EE115" ca="1">_FV(EC115,"Ações em circulação",TRUE)</f>
        <v>857928100</v>
      </c>
      <c r="EF115" s="18">
        <f>VLOOKUP(BP115,Fundamentus!A:U,5,FALSE)</f>
        <v>0.127</v>
      </c>
      <c r="EG115" s="2">
        <f t="shared" ca="1" si="109"/>
        <v>144699369307.08661</v>
      </c>
      <c r="EH115" s="17">
        <v>3820063349.7070866</v>
      </c>
      <c r="EI115" s="17">
        <f t="shared" ca="1" si="110"/>
        <v>3820063349.7070866</v>
      </c>
      <c r="EK115" s="16">
        <f t="shared" ca="1" si="97"/>
        <v>0</v>
      </c>
      <c r="EL115" s="32" t="str">
        <f>IF(VLOOKUP(BP115,Fundamentus!A:U,3,FALSE)&lt;15,"Bom",IF(VLOOKUP(BP115,Fundamentus!A:U,3,FALSE)&gt;15,"Ruim","n/a"))</f>
        <v>Bom</v>
      </c>
      <c r="EM115" s="28" t="str">
        <f>IF(VLOOKUP(BP115,Fundamentus!A:U,4,FALSE)&lt;1,"Baixo",IF(VLOOKUP(BP115,Fundamentus!A:U,4,FALSE)&lt;1.5,"Moderado",IF(VLOOKUP(BP115,Fundamentus!A:U,4,FALSE)&gt;1.5,"Alto","n/a")))</f>
        <v>Alto</v>
      </c>
      <c r="EN115" s="17" t="str">
        <f>IF(VLOOKUP(BP115,Fundamentus!A:U,8,FALSE)&lt;0,"Risco elevado",IF(VLOOKUP(BP115,Fundamentus!A:U,8,FALSE)&lt;1,"Saudável",IF(VLOOKUP(BP115,Fundamentus!A:U,8,FALSE)&lt;3,"Estável",IF(VLOOKUP(BP115,Fundamentus!A:U,8,FALSE)&gt;3,"Alerta","n/a"))))</f>
        <v>Estável</v>
      </c>
      <c r="EO115" s="28" t="str">
        <f t="shared" si="111"/>
        <v>Ruim</v>
      </c>
      <c r="EP115" s="17" t="str">
        <f>IF(VLOOKUP(BP115,Fundamentus!A:U,12,FALSE)&lt;2,"Subvalorizada",IF(VLOOKUP(BP115,Fundamentus!A:U,12,FALSE)&lt;6,"Muita barata",IF(VLOOKUP(BP115,Fundamentus!A:U,12,FALSE)&lt;6,"Barata",IF(VLOOKUP(BP115,Fundamentus!A:U,12,FALSE)&lt;8,"Atrativa",IF(VLOOKUP(BP115,Fundamentus!A:U,12,FALSE)&gt;8,"Supervalorizada","n/a")))))</f>
        <v>Muita barata</v>
      </c>
      <c r="ER115" s="17" t="str">
        <f>IF(VLOOKUP(BP115,Fundamentus!A:U,17,FALSE)&lt;0.1,"Fraco retorno",IF(VLOOKUP(BP115,Fundamentus!A:U,17,FALSE)&gt;0.1,"Bom retorno","n/a"))</f>
        <v>Bom retorno</v>
      </c>
      <c r="ES115" s="17" t="str">
        <f>IF(VLOOKUP(BP115,Fundamentus!A:U,16,FALSE)&lt;0.1,"Ineficiente",IF(VLOOKUP(BP115,Fundamentus!A:U,16,FALSE)&gt;0.1,"Eficiente","n/a"))</f>
        <v>Ineficiente</v>
      </c>
      <c r="ET115" s="33" t="str">
        <f>IF(VLOOKUP(BP115,Fundamentus!A:U,16,FALSE)&lt;0.1,"Oper. Ineficiente",IF(VLOOKUP(BP115,Fundamentus!A:U,16,FALSE)&gt;0.1,"Oper.Eficiente","n/a"))</f>
        <v>Oper. Ineficiente</v>
      </c>
      <c r="EU115" s="34">
        <f>VLOOKUP(BP115,Fundamentus!A:U,14,FALSE)</f>
        <v>2.64E-2</v>
      </c>
      <c r="EV115" s="17" t="str">
        <f>IF(VLOOKUP(BP115,Fundamentus!A:U,21,FALSE)&lt;0,"Negativo",IF(VLOOKUP(BP115,Fundamentus!A:U,21,FALSE)&lt;0.05,"Fraco",IF(VLOOKUP(BP115,Fundamentus!A:U,21,FALSE)&lt;0.1,"Bom",IF(VLOOKUP(BP115,Fundamentus!A:U,21,FALSE)&gt;0.1,"Muito bom","n/a"))))</f>
        <v>Muito bom</v>
      </c>
      <c r="EX115" s="29" t="str">
        <f>IF(VLOOKUP(BP115,Fundamentus!A:U,15,FALSE)&gt;1,"Bom",IF(VLOOKUP(BP115,Fundamentus!A:U,15,FALSE)&lt;1,"Ruim","n/a"))</f>
        <v>Bom</v>
      </c>
      <c r="EY115" s="17" t="str">
        <f>IF(VLOOKUP(BP115,Fundamentus!A:U,20,FALSE)&lt;0.5,"Baixa",IF(VLOOKUP(BP115,Fundamentus!A:U,20,FALSE)&lt;1,"Moderada",IF(VLOOKUP(BP115,Fundamentus!A:U,20,FALSE)&lt;2,"Alerta",IF(VLOOKUP(BP115,Fundamentus!A:U,20,FALSE)&gt;2,"Alta","n/a"))))</f>
        <v>Alta</v>
      </c>
      <c r="EZ115" s="10"/>
    </row>
    <row r="116" spans="1:156" s="2" customFormat="1" ht="11.25" x14ac:dyDescent="0.2">
      <c r="A116" s="4">
        <v>1.53</v>
      </c>
      <c r="B116" s="4">
        <v>1.51</v>
      </c>
      <c r="C116" s="4">
        <v>1.34</v>
      </c>
      <c r="D116" s="4">
        <v>1.43</v>
      </c>
      <c r="E116" s="4">
        <v>1.33</v>
      </c>
      <c r="F116" s="4">
        <v>1.31</v>
      </c>
      <c r="G116" s="4">
        <v>1.1000000000000001</v>
      </c>
      <c r="H116" s="4">
        <v>0.9</v>
      </c>
      <c r="I116" s="4">
        <v>0.51</v>
      </c>
      <c r="J116" s="4">
        <v>0.36</v>
      </c>
      <c r="K116" s="4">
        <v>0.32</v>
      </c>
      <c r="L116" s="4">
        <v>0.18</v>
      </c>
      <c r="M116" s="4">
        <v>0.37</v>
      </c>
      <c r="N116" s="4">
        <v>0.34</v>
      </c>
      <c r="O116" s="4">
        <v>0.31</v>
      </c>
      <c r="P116" s="4">
        <v>0.23</v>
      </c>
      <c r="Q116" s="4">
        <v>0.24</v>
      </c>
      <c r="R116" s="4">
        <v>0.21</v>
      </c>
      <c r="S116" s="4">
        <v>0.2</v>
      </c>
      <c r="T116" s="4">
        <v>0.28000000000000003</v>
      </c>
      <c r="U116" s="4">
        <v>0.3</v>
      </c>
      <c r="V116" s="4">
        <v>0.28999999999999998</v>
      </c>
      <c r="W116" s="4">
        <v>0.27</v>
      </c>
      <c r="X116" s="4">
        <v>0.26</v>
      </c>
      <c r="Y116" s="4">
        <v>0.28000000000000003</v>
      </c>
      <c r="Z116" s="4">
        <v>0.27</v>
      </c>
      <c r="AA116" s="4">
        <v>0.25</v>
      </c>
      <c r="AB116" s="4">
        <v>0.22</v>
      </c>
      <c r="AC116" s="4">
        <v>0.21</v>
      </c>
      <c r="AD116" s="4">
        <v>4</v>
      </c>
      <c r="AE116" s="4">
        <v>3.18</v>
      </c>
      <c r="AF116" s="4">
        <v>3.16</v>
      </c>
      <c r="AG116" s="4">
        <v>3.06</v>
      </c>
      <c r="AH116" s="4">
        <v>2.38</v>
      </c>
      <c r="AI116" s="4">
        <v>2.36</v>
      </c>
      <c r="AJ116" s="4">
        <v>2.71</v>
      </c>
      <c r="AK116" s="4">
        <v>2.59</v>
      </c>
      <c r="AL116" s="4">
        <v>2.48</v>
      </c>
      <c r="AM116" s="4">
        <v>2.4500000000000002</v>
      </c>
      <c r="AN116" s="4">
        <v>2.41</v>
      </c>
      <c r="AO116" s="4">
        <v>2.2999999999999998</v>
      </c>
      <c r="AP116" s="4">
        <v>2.27</v>
      </c>
      <c r="AQ116" s="4">
        <v>2.4</v>
      </c>
      <c r="AR116" s="4">
        <v>2.4</v>
      </c>
      <c r="AS116" s="4">
        <v>3.09</v>
      </c>
      <c r="AT116" s="4">
        <v>2.65</v>
      </c>
      <c r="AU116" s="4">
        <v>2.44</v>
      </c>
      <c r="AV116" s="4">
        <v>2.36</v>
      </c>
      <c r="AW116" s="4">
        <v>2.3199999999999998</v>
      </c>
      <c r="AX116" s="4">
        <v>2.37</v>
      </c>
      <c r="AY116" s="12">
        <v>2.25</v>
      </c>
      <c r="AZ116" s="12">
        <v>2.2400000000000002</v>
      </c>
      <c r="BA116" s="12">
        <v>2.16</v>
      </c>
      <c r="BB116" s="15">
        <v>2.16</v>
      </c>
      <c r="BC116" s="52">
        <v>2.0499999999999998</v>
      </c>
      <c r="BD116" s="52">
        <v>2</v>
      </c>
      <c r="BE116" s="52">
        <v>1.94</v>
      </c>
      <c r="BF116" s="52">
        <v>1.93</v>
      </c>
      <c r="BG116" s="67">
        <v>1.94</v>
      </c>
      <c r="BH116" s="52">
        <v>1.91</v>
      </c>
      <c r="BI116" s="52">
        <v>1.85</v>
      </c>
      <c r="BJ116" s="52">
        <v>1.83</v>
      </c>
      <c r="BK116" s="52">
        <v>1.74</v>
      </c>
      <c r="BL116" s="52">
        <v>1.56</v>
      </c>
      <c r="BM116" s="52">
        <v>1.53</v>
      </c>
      <c r="BN116" s="52">
        <v>1.56</v>
      </c>
      <c r="BO116" s="52" cm="1">
        <f t="array" aca="1" ref="BO116" ca="1">_FV(EC116,"Preço")</f>
        <v>1.56</v>
      </c>
      <c r="BP116" s="69" t="s">
        <v>112</v>
      </c>
      <c r="BQ116" s="36" cm="1">
        <f t="array" aca="1" ref="BQ116" ca="1">_FV(EC116,"Média de volume",TRUE)</f>
        <v>6260</v>
      </c>
      <c r="BR116" s="36">
        <v>23200</v>
      </c>
      <c r="BS116" s="36" cm="1">
        <f t="array" aca="1" ref="BS116" ca="1">_FV(EC116,"Volume")</f>
        <v>23200</v>
      </c>
      <c r="BT116" s="24" cm="1">
        <f t="array" aca="1" ref="BT116" ca="1">_FV(EC116,"Beta")</f>
        <v>1.4473</v>
      </c>
      <c r="BU116" s="71" cm="1">
        <f t="array" aca="1" ref="BU116" ca="1">_FV(EC116,"Variação (%)",TRUE)</f>
        <v>6.1224000000000001E-2</v>
      </c>
      <c r="BW116" s="17" cm="1">
        <f t="array" aca="1" ref="BW116" ca="1">_FV(EC116,"Baixo")</f>
        <v>1.44</v>
      </c>
      <c r="BX116" s="17" cm="1">
        <f t="array" aca="1" ref="BX116" ca="1">_FV(EC116,"Alto")</f>
        <v>1.57</v>
      </c>
      <c r="BY116" s="24"/>
      <c r="BZ116" s="63">
        <f ca="1">SQRT(22.5*(BO116/VLOOKUP(BP116,Fundamentus!A:U,3,FALSE))*(BO116/VLOOKUP(BP116,Fundamentus!A:U,4,FALSE)))</f>
        <v>37.761587625522317</v>
      </c>
      <c r="CB116" s="62">
        <f t="shared" ca="1" si="112"/>
        <v>0</v>
      </c>
      <c r="CC116" s="8"/>
      <c r="CD116" s="61">
        <f t="shared" si="113"/>
        <v>0.18</v>
      </c>
      <c r="CE116" s="61">
        <f t="shared" si="114"/>
        <v>4</v>
      </c>
      <c r="CF116" s="61">
        <f t="shared" si="115"/>
        <v>1.5512121212121208</v>
      </c>
      <c r="CG116" s="14"/>
      <c r="CH116" s="35">
        <f t="shared" si="98"/>
        <v>1.2168068011046336</v>
      </c>
      <c r="CI116" s="15">
        <f t="shared" si="116"/>
        <v>1.4549999999999841</v>
      </c>
      <c r="CJ116" s="35">
        <f t="shared" si="99"/>
        <v>1.6931931988953346</v>
      </c>
      <c r="CL116" s="14"/>
      <c r="CM116" s="17">
        <f t="shared" si="100"/>
        <v>-3.9933333333333336</v>
      </c>
      <c r="CN116" s="17">
        <f t="shared" si="101"/>
        <v>-1.9066666666666665</v>
      </c>
      <c r="CO116" s="17">
        <f t="shared" si="102"/>
        <v>-0.17333333333333334</v>
      </c>
      <c r="CP116" s="38">
        <f t="shared" si="117"/>
        <v>1.9133333333333333</v>
      </c>
      <c r="CQ116" s="17">
        <f t="shared" si="103"/>
        <v>3.6466666666666665</v>
      </c>
      <c r="CR116" s="17">
        <f t="shared" si="104"/>
        <v>5.7333333333333334</v>
      </c>
      <c r="CS116" s="17">
        <f t="shared" si="105"/>
        <v>7.4666666666666668</v>
      </c>
      <c r="CT116" s="2" cm="1">
        <f t="array" aca="1" ref="CT116" ca="1">MAX(_xlfn._xlws.FILTER(CM116:CS116,CM116:CS116&lt;BO116))</f>
        <v>-0.17333333333333334</v>
      </c>
      <c r="CU116" s="2" cm="1">
        <f t="array" aca="1" ref="CU116" ca="1">MIN(_xlfn._xlws.FILTER($CM116:$CS116,$CM116:$CS116&gt;BO116))</f>
        <v>1.9133333333333333</v>
      </c>
      <c r="CV116" s="16">
        <f t="shared" ca="1" si="136"/>
        <v>-12.038461538461538</v>
      </c>
      <c r="CW116" s="20">
        <f t="shared" ca="1" si="137"/>
        <v>6.0192307692307692</v>
      </c>
      <c r="CX116" s="20">
        <f t="shared" ca="1" si="138"/>
        <v>4.0128205128205128</v>
      </c>
      <c r="CY116" s="20">
        <f t="shared" ca="1" si="139"/>
        <v>2.4076923076923076</v>
      </c>
      <c r="CZ116" s="20">
        <f t="shared" ca="1" si="140"/>
        <v>1.3376068376068375</v>
      </c>
      <c r="DA116" s="20">
        <f t="shared" ca="1" si="141"/>
        <v>0.70814479638009054</v>
      </c>
      <c r="DB116" s="20">
        <f t="shared" ca="1" si="142"/>
        <v>0.36480186480186477</v>
      </c>
      <c r="DC116" s="20">
        <f t="shared" ca="1" si="143"/>
        <v>0.18520710059171597</v>
      </c>
      <c r="DD116" s="21">
        <f t="shared" ca="1" si="144"/>
        <v>-0.18520710059171597</v>
      </c>
      <c r="DE116" s="21">
        <f t="shared" ca="1" si="145"/>
        <v>-0.36480186480186477</v>
      </c>
      <c r="DF116" s="21">
        <f t="shared" ca="1" si="146"/>
        <v>-0.70814479638009054</v>
      </c>
      <c r="DG116" s="21">
        <f t="shared" ca="1" si="147"/>
        <v>-1.3376068376068375</v>
      </c>
      <c r="DH116" s="21">
        <f t="shared" ca="1" si="148"/>
        <v>-2.4076923076923076</v>
      </c>
      <c r="DI116" s="21">
        <f t="shared" ca="1" si="149"/>
        <v>-4.0128205128205128</v>
      </c>
      <c r="DJ116" s="21">
        <f t="shared" ca="1" si="150"/>
        <v>-6.0192307692307692</v>
      </c>
      <c r="DL116" s="16" cm="1">
        <f t="array" aca="1" ref="DL116" ca="1">MAX(_xlfn._xlws.FILTER(CW116:DJ116,CW116:DJ116&lt;BU116))</f>
        <v>-0.18520710059171597</v>
      </c>
      <c r="DM116" s="16" cm="1">
        <f t="array" aca="1" ref="DM116" ca="1">MIN(_xlfn._xlws.FILTER(CW116:DJ116,CW116:DJ116&gt;BU116))</f>
        <v>0.18520710059171597</v>
      </c>
      <c r="DN116" s="2" cm="1">
        <f t="array" aca="1" ref="DN116" ca="1">_FV(EC116,"Fechamento anterior",TRUE)</f>
        <v>1.47</v>
      </c>
      <c r="DO116" s="28">
        <f t="shared" ca="1" si="106"/>
        <v>0.66528656190910884</v>
      </c>
      <c r="DP116" s="15">
        <f t="shared" ca="1" si="151"/>
        <v>1.1977455621301776</v>
      </c>
      <c r="DQ116" s="15">
        <f t="shared" ca="1" si="152"/>
        <v>1.7422544378698224</v>
      </c>
      <c r="DR116" s="9"/>
      <c r="DS116" s="9"/>
      <c r="DT116" s="9"/>
      <c r="DU116" s="89">
        <v>0.37041420118343193</v>
      </c>
      <c r="DV116" s="89">
        <f t="shared" ca="1" si="107"/>
        <v>0.37041420118343193</v>
      </c>
      <c r="DW116" s="72">
        <f t="shared" ca="1" si="108"/>
        <v>0.4408186316274606</v>
      </c>
      <c r="DX116" s="37"/>
      <c r="DY116" s="35">
        <f t="shared" si="118"/>
        <v>0.11909659944767524</v>
      </c>
      <c r="DZ116" s="56"/>
      <c r="EA116" s="56"/>
      <c r="EC116" s="2" t="e" vm="115">
        <v>#VALUE!</v>
      </c>
      <c r="EE116" s="10" cm="1">
        <f t="array" aca="1" ref="EE116" ca="1">_FV(EC116,"Ações em circulação",TRUE)</f>
        <v>12802740</v>
      </c>
      <c r="EF116" s="18">
        <f>VLOOKUP(BP116,Fundamentus!A:U,5,FALSE)</f>
        <v>8.2000000000000003E-2</v>
      </c>
      <c r="EG116" s="2">
        <f t="shared" ca="1" si="109"/>
        <v>243564321.95121953</v>
      </c>
      <c r="EH116" s="17">
        <v>-259956200.81853658</v>
      </c>
      <c r="EI116" s="17">
        <f t="shared" ca="1" si="110"/>
        <v>-259956200.81853658</v>
      </c>
      <c r="EK116" s="16">
        <f t="shared" ca="1" si="97"/>
        <v>0</v>
      </c>
      <c r="EL116" s="32" t="str">
        <f>IF(VLOOKUP(BP116,Fundamentus!A:U,3,FALSE)&lt;15,"Bom",IF(VLOOKUP(BP116,Fundamentus!A:U,3,FALSE)&gt;15,"Ruim","n/a"))</f>
        <v>Bom</v>
      </c>
      <c r="EM116" s="28" t="str">
        <f>IF(VLOOKUP(BP116,Fundamentus!A:U,4,FALSE)&lt;1,"Baixo",IF(VLOOKUP(BP116,Fundamentus!A:U,4,FALSE)&lt;1.5,"Moderado",IF(VLOOKUP(BP116,Fundamentus!A:U,4,FALSE)&gt;1.5,"Alto","n/a")))</f>
        <v>Baixo</v>
      </c>
      <c r="EN116" s="17" t="str">
        <f>IF(VLOOKUP(BP116,Fundamentus!A:U,8,FALSE)&lt;0,"Risco elevado",IF(VLOOKUP(BP116,Fundamentus!A:U,8,FALSE)&lt;1,"Saudável",IF(VLOOKUP(BP116,Fundamentus!A:U,8,FALSE)&lt;3,"Estável",IF(VLOOKUP(BP116,Fundamentus!A:U,8,FALSE)&gt;3,"Alerta","n/a"))))</f>
        <v>Saudável</v>
      </c>
      <c r="EO116" s="28" t="str">
        <f t="shared" si="111"/>
        <v>Ruim</v>
      </c>
      <c r="EP116" s="17" t="str">
        <f>IF(VLOOKUP(BP116,Fundamentus!A:U,12,FALSE)&lt;2,"Subvalorizada",IF(VLOOKUP(BP116,Fundamentus!A:U,12,FALSE)&lt;6,"Muita barata",IF(VLOOKUP(BP116,Fundamentus!A:U,12,FALSE)&lt;6,"Barata",IF(VLOOKUP(BP116,Fundamentus!A:U,12,FALSE)&lt;8,"Atrativa",IF(VLOOKUP(BP116,Fundamentus!A:U,12,FALSE)&gt;8,"Supervalorizada","n/a")))))</f>
        <v>Subvalorizada</v>
      </c>
      <c r="ER116" s="17" t="str">
        <f>IF(VLOOKUP(BP116,Fundamentus!A:U,17,FALSE)&lt;0.1,"Fraco retorno",IF(VLOOKUP(BP116,Fundamentus!A:U,17,FALSE)&gt;0.1,"Bom retorno","n/a"))</f>
        <v>Bom retorno</v>
      </c>
      <c r="ES116" s="17" t="str">
        <f>IF(VLOOKUP(BP116,Fundamentus!A:U,16,FALSE)&lt;0.1,"Ineficiente",IF(VLOOKUP(BP116,Fundamentus!A:U,16,FALSE)&gt;0.1,"Eficiente","n/a"))</f>
        <v>Ineficiente</v>
      </c>
      <c r="ET116" s="33" t="str">
        <f>IF(VLOOKUP(BP116,Fundamentus!A:U,16,FALSE)&lt;0.1,"Oper. Ineficiente",IF(VLOOKUP(BP116,Fundamentus!A:U,16,FALSE)&gt;0.1,"Oper.Eficiente","n/a"))</f>
        <v>Oper. Ineficiente</v>
      </c>
      <c r="EU116" s="34">
        <f>VLOOKUP(BP116,Fundamentus!A:U,14,FALSE)</f>
        <v>-1.0672999999999999</v>
      </c>
      <c r="EV116" s="17" t="str">
        <f>IF(VLOOKUP(BP116,Fundamentus!A:U,21,FALSE)&lt;0,"Negativo",IF(VLOOKUP(BP116,Fundamentus!A:U,21,FALSE)&lt;0.05,"Fraco",IF(VLOOKUP(BP116,Fundamentus!A:U,21,FALSE)&lt;0.1,"Bom",IF(VLOOKUP(BP116,Fundamentus!A:U,21,FALSE)&gt;0.1,"Muito bom","n/a"))))</f>
        <v>Muito bom</v>
      </c>
      <c r="EX116" s="29" t="str">
        <f>IF(VLOOKUP(BP116,Fundamentus!A:U,15,FALSE)&gt;1,"Bom",IF(VLOOKUP(BP116,Fundamentus!A:U,15,FALSE)&lt;1,"Ruim","n/a"))</f>
        <v>Bom</v>
      </c>
      <c r="EY116" s="17" t="str">
        <f>IF(VLOOKUP(BP116,Fundamentus!A:U,20,FALSE)&lt;0.5,"Baixa",IF(VLOOKUP(BP116,Fundamentus!A:U,20,FALSE)&lt;1,"Moderada",IF(VLOOKUP(BP116,Fundamentus!A:U,20,FALSE)&lt;2,"Alerta",IF(VLOOKUP(BP116,Fundamentus!A:U,20,FALSE)&gt;2,"Alta","n/a"))))</f>
        <v>Baixa</v>
      </c>
      <c r="EZ116" s="10"/>
    </row>
    <row r="117" spans="1:156" s="2" customFormat="1" ht="11.25" x14ac:dyDescent="0.2">
      <c r="A117" s="4">
        <v>7.66</v>
      </c>
      <c r="B117" s="4">
        <v>7.5</v>
      </c>
      <c r="C117" s="4">
        <v>7.35</v>
      </c>
      <c r="D117" s="4">
        <v>7.29</v>
      </c>
      <c r="E117" s="4">
        <v>7</v>
      </c>
      <c r="F117" s="4">
        <v>6.63</v>
      </c>
      <c r="G117" s="4">
        <v>6.71</v>
      </c>
      <c r="H117" s="4">
        <v>7.17</v>
      </c>
      <c r="I117" s="4">
        <v>7.6</v>
      </c>
      <c r="J117" s="4">
        <v>7.71</v>
      </c>
      <c r="K117" s="4">
        <v>7.64</v>
      </c>
      <c r="L117" s="4">
        <v>7.96</v>
      </c>
      <c r="M117" s="4">
        <v>6.05</v>
      </c>
      <c r="N117" s="4">
        <v>5.88</v>
      </c>
      <c r="O117" s="4">
        <v>5.85</v>
      </c>
      <c r="P117" s="4">
        <v>6.02</v>
      </c>
      <c r="Q117" s="4">
        <v>6.41</v>
      </c>
      <c r="R117" s="4">
        <v>6.09</v>
      </c>
      <c r="S117" s="4">
        <v>5.87</v>
      </c>
      <c r="T117" s="4">
        <v>6.06</v>
      </c>
      <c r="U117" s="4">
        <v>5.75</v>
      </c>
      <c r="V117" s="4">
        <v>6.01</v>
      </c>
      <c r="W117" s="4">
        <v>6.09</v>
      </c>
      <c r="X117" s="4">
        <v>6.08</v>
      </c>
      <c r="Y117" s="4">
        <v>5.99</v>
      </c>
      <c r="Z117" s="4">
        <v>6.46</v>
      </c>
      <c r="AA117" s="4">
        <v>6.08</v>
      </c>
      <c r="AB117" s="4">
        <v>6.16</v>
      </c>
      <c r="AC117" s="4">
        <v>5.95</v>
      </c>
      <c r="AD117" s="4">
        <v>6.14</v>
      </c>
      <c r="AE117" s="4">
        <v>6.1</v>
      </c>
      <c r="AF117" s="4">
        <v>5.9</v>
      </c>
      <c r="AG117" s="4">
        <v>5.85</v>
      </c>
      <c r="AH117" s="4">
        <v>5.3</v>
      </c>
      <c r="AI117" s="4">
        <v>5.25</v>
      </c>
      <c r="AJ117" s="4">
        <v>4.9800000000000004</v>
      </c>
      <c r="AK117" s="4">
        <v>4.8099999999999996</v>
      </c>
      <c r="AL117" s="4">
        <v>5.0999999999999996</v>
      </c>
      <c r="AM117" s="4">
        <v>5.31</v>
      </c>
      <c r="AN117" s="4">
        <v>5.44</v>
      </c>
      <c r="AO117" s="4">
        <v>5.5</v>
      </c>
      <c r="AP117" s="4">
        <v>5.9</v>
      </c>
      <c r="AQ117" s="4">
        <v>5.9</v>
      </c>
      <c r="AR117" s="4">
        <v>5.66</v>
      </c>
      <c r="AS117" s="4">
        <v>5.92</v>
      </c>
      <c r="AT117" s="4">
        <v>5.85</v>
      </c>
      <c r="AU117" s="4">
        <v>5.83</v>
      </c>
      <c r="AV117" s="4">
        <v>5.7</v>
      </c>
      <c r="AW117" s="4">
        <v>5.31</v>
      </c>
      <c r="AX117" s="4">
        <v>5.36</v>
      </c>
      <c r="AY117" s="12">
        <v>5.65</v>
      </c>
      <c r="AZ117" s="12">
        <v>5.74</v>
      </c>
      <c r="BA117" s="12">
        <v>5.51</v>
      </c>
      <c r="BB117" s="15">
        <v>5.51</v>
      </c>
      <c r="BC117" s="52">
        <v>5.53</v>
      </c>
      <c r="BD117" s="52">
        <v>5.25</v>
      </c>
      <c r="BE117" s="52">
        <v>5.0999999999999996</v>
      </c>
      <c r="BF117" s="52">
        <v>5.13</v>
      </c>
      <c r="BG117" s="67">
        <v>4.76</v>
      </c>
      <c r="BH117" s="52">
        <v>4.4400000000000004</v>
      </c>
      <c r="BI117" s="52">
        <v>4.2</v>
      </c>
      <c r="BJ117" s="52">
        <v>4.45</v>
      </c>
      <c r="BK117" s="52">
        <v>4.37</v>
      </c>
      <c r="BL117" s="52">
        <v>4.0199999999999996</v>
      </c>
      <c r="BM117" s="52">
        <v>4.2699999999999996</v>
      </c>
      <c r="BN117" s="52">
        <v>4.59</v>
      </c>
      <c r="BO117" s="52" cm="1">
        <f t="array" aca="1" ref="BO117" ca="1">_FV(EC117,"Preço")</f>
        <v>4.59</v>
      </c>
      <c r="BP117" s="69" t="s">
        <v>113</v>
      </c>
      <c r="BQ117" s="36" cm="1">
        <f t="array" aca="1" ref="BQ117" ca="1">_FV(EC117,"Média de volume",TRUE)</f>
        <v>19081220</v>
      </c>
      <c r="BR117" s="36">
        <v>606200</v>
      </c>
      <c r="BS117" s="36" cm="1">
        <f t="array" aca="1" ref="BS117" ca="1">_FV(EC117,"Volume")</f>
        <v>606200</v>
      </c>
      <c r="BT117" s="24" cm="1">
        <f t="array" aca="1" ref="BT117" ca="1">_FV(EC117,"Beta")</f>
        <v>0.92459999999999998</v>
      </c>
      <c r="BU117" s="71" cm="1">
        <f t="array" aca="1" ref="BU117" ca="1">_FV(EC117,"Variação (%)",TRUE)</f>
        <v>-4.3379999999999998E-3</v>
      </c>
      <c r="BW117" s="17" cm="1">
        <f t="array" aca="1" ref="BW117" ca="1">_FV(EC117,"Baixo")</f>
        <v>4.49</v>
      </c>
      <c r="BX117" s="17" cm="1">
        <f t="array" aca="1" ref="BX117" ca="1">_FV(EC117,"Alto")</f>
        <v>4.75</v>
      </c>
      <c r="BY117" s="24"/>
      <c r="BZ117" s="63">
        <f ca="1">SQRT(22.5*(BO117/VLOOKUP(BP117,Fundamentus!A:U,3,FALSE))*(BO117/VLOOKUP(BP117,Fundamentus!A:U,4,FALSE)))</f>
        <v>7.1504541712460776</v>
      </c>
      <c r="CB117" s="62">
        <f t="shared" ca="1" si="112"/>
        <v>0</v>
      </c>
      <c r="CC117" s="8"/>
      <c r="CD117" s="61">
        <f t="shared" si="113"/>
        <v>4.0199999999999996</v>
      </c>
      <c r="CE117" s="61">
        <f t="shared" si="114"/>
        <v>7.96</v>
      </c>
      <c r="CF117" s="61">
        <f t="shared" si="115"/>
        <v>5.8583333333333307</v>
      </c>
      <c r="CG117" s="14"/>
      <c r="CH117" s="35">
        <f t="shared" si="98"/>
        <v>4.1575866111130155</v>
      </c>
      <c r="CI117" s="15">
        <f t="shared" si="116"/>
        <v>4.5399999999999636</v>
      </c>
      <c r="CJ117" s="35">
        <f t="shared" si="99"/>
        <v>4.9224133888869117</v>
      </c>
      <c r="CL117" s="14"/>
      <c r="CM117" s="17">
        <f t="shared" si="100"/>
        <v>-0.8533333333333335</v>
      </c>
      <c r="CN117" s="17">
        <f t="shared" si="101"/>
        <v>1.583333333333333</v>
      </c>
      <c r="CO117" s="17">
        <f t="shared" si="102"/>
        <v>3.0866666666666669</v>
      </c>
      <c r="CP117" s="38">
        <f t="shared" si="117"/>
        <v>5.5233333333333334</v>
      </c>
      <c r="CQ117" s="17">
        <f t="shared" si="103"/>
        <v>7.0266666666666673</v>
      </c>
      <c r="CR117" s="17">
        <f t="shared" si="104"/>
        <v>9.4633333333333347</v>
      </c>
      <c r="CS117" s="17">
        <f t="shared" si="105"/>
        <v>10.966666666666669</v>
      </c>
      <c r="CT117" s="2" cm="1">
        <f t="array" aca="1" ref="CT117" ca="1">MAX(_xlfn._xlws.FILTER(CM117:CS117,CM117:CS117&lt;BO117))</f>
        <v>3.0866666666666669</v>
      </c>
      <c r="CU117" s="2" cm="1">
        <f t="array" aca="1" ref="CU117" ca="1">MIN(_xlfn._xlws.FILTER($CM117:$CS117,$CM117:$CS117&gt;BO117))</f>
        <v>5.5233333333333334</v>
      </c>
      <c r="CV117" s="16">
        <f t="shared" ca="1" si="136"/>
        <v>0.78941684665226775</v>
      </c>
      <c r="CW117" s="20">
        <f t="shared" ca="1" si="137"/>
        <v>-0.39470842332613387</v>
      </c>
      <c r="CX117" s="20">
        <f t="shared" ca="1" si="138"/>
        <v>-0.26313894888408923</v>
      </c>
      <c r="CY117" s="20">
        <f t="shared" ca="1" si="139"/>
        <v>-0.15788336933045355</v>
      </c>
      <c r="CZ117" s="20">
        <f t="shared" ca="1" si="140"/>
        <v>-8.7712982961363081E-2</v>
      </c>
      <c r="DA117" s="20">
        <f t="shared" ca="1" si="141"/>
        <v>-4.643628509719222E-2</v>
      </c>
      <c r="DB117" s="20">
        <f t="shared" ca="1" si="142"/>
        <v>-2.3921722625826296E-2</v>
      </c>
      <c r="DC117" s="20">
        <f t="shared" ca="1" si="143"/>
        <v>-1.2144874563881043E-2</v>
      </c>
      <c r="DD117" s="21">
        <f t="shared" ca="1" si="144"/>
        <v>1.2144874563881043E-2</v>
      </c>
      <c r="DE117" s="21">
        <f t="shared" ca="1" si="145"/>
        <v>2.3921722625826296E-2</v>
      </c>
      <c r="DF117" s="21">
        <f t="shared" ca="1" si="146"/>
        <v>4.643628509719222E-2</v>
      </c>
      <c r="DG117" s="21">
        <f t="shared" ca="1" si="147"/>
        <v>8.7712982961363081E-2</v>
      </c>
      <c r="DH117" s="21">
        <f t="shared" ca="1" si="148"/>
        <v>0.15788336933045355</v>
      </c>
      <c r="DI117" s="21">
        <f t="shared" ca="1" si="149"/>
        <v>0.26313894888408923</v>
      </c>
      <c r="DJ117" s="21">
        <f t="shared" ca="1" si="150"/>
        <v>0.39470842332613387</v>
      </c>
      <c r="DL117" s="16" cm="1">
        <f t="array" aca="1" ref="DL117" ca="1">MAX(_xlfn._xlws.FILTER(CW117:DJ117,CW117:DJ117&lt;BU117))</f>
        <v>-1.2144874563881043E-2</v>
      </c>
      <c r="DM117" s="16" cm="1">
        <f t="array" aca="1" ref="DM117" ca="1">MIN(_xlfn._xlws.FILTER(CW117:DJ117,CW117:DJ117&gt;BU117))</f>
        <v>1.2144874563881043E-2</v>
      </c>
      <c r="DN117" s="2" cm="1">
        <f t="array" aca="1" ref="DN117" ca="1">_FV(EC117,"Fechamento anterior",TRUE)</f>
        <v>4.6100000000000003</v>
      </c>
      <c r="DO117" s="28">
        <f t="shared" ca="1" si="106"/>
        <v>0.32138988875073293</v>
      </c>
      <c r="DP117" s="15">
        <f t="shared" ca="1" si="151"/>
        <v>4.5540121282605091</v>
      </c>
      <c r="DQ117" s="15">
        <f t="shared" ca="1" si="152"/>
        <v>4.6659878717394916</v>
      </c>
      <c r="DR117" s="9"/>
      <c r="DS117" s="9"/>
      <c r="DT117" s="9"/>
      <c r="DU117" s="89">
        <v>1.4477476546442068E-2</v>
      </c>
      <c r="DV117" s="89">
        <f t="shared" ca="1" si="107"/>
        <v>2.4289749127762085E-2</v>
      </c>
      <c r="DW117" s="72">
        <f t="shared" ca="1" si="108"/>
        <v>0.13074856020487716</v>
      </c>
      <c r="DX117" s="37"/>
      <c r="DY117" s="35">
        <f t="shared" si="118"/>
        <v>0.19120669444347407</v>
      </c>
      <c r="DZ117" s="56"/>
      <c r="EA117" s="56"/>
      <c r="EC117" s="2" t="e" vm="116">
        <v>#VALUE!</v>
      </c>
      <c r="EE117" s="10" cm="1">
        <f t="array" aca="1" ref="EE117" ca="1">_FV(EC117,"Ações em circulação",TRUE)</f>
        <v>1253079000</v>
      </c>
      <c r="EF117" s="18">
        <f>VLOOKUP(BP117,Fundamentus!A:U,5,FALSE)</f>
        <v>0.214</v>
      </c>
      <c r="EG117" s="2">
        <f t="shared" ca="1" si="109"/>
        <v>26876787897.196262</v>
      </c>
      <c r="EH117" s="17">
        <v>309083060.81775701</v>
      </c>
      <c r="EI117" s="17">
        <f t="shared" ca="1" si="110"/>
        <v>309083060.81775701</v>
      </c>
      <c r="EK117" s="16">
        <f t="shared" ca="1" si="97"/>
        <v>0</v>
      </c>
      <c r="EL117" s="32" t="str">
        <f>IF(VLOOKUP(BP117,Fundamentus!A:U,3,FALSE)&lt;15,"Bom",IF(VLOOKUP(BP117,Fundamentus!A:U,3,FALSE)&gt;15,"Ruim","n/a"))</f>
        <v>Ruim</v>
      </c>
      <c r="EM117" s="28" t="str">
        <f>IF(VLOOKUP(BP117,Fundamentus!A:U,4,FALSE)&lt;1,"Baixo",IF(VLOOKUP(BP117,Fundamentus!A:U,4,FALSE)&lt;1.5,"Moderado",IF(VLOOKUP(BP117,Fundamentus!A:U,4,FALSE)&gt;1.5,"Alto","n/a")))</f>
        <v>Baixo</v>
      </c>
      <c r="EN117" s="17" t="str">
        <f>IF(VLOOKUP(BP117,Fundamentus!A:U,8,FALSE)&lt;0,"Risco elevado",IF(VLOOKUP(BP117,Fundamentus!A:U,8,FALSE)&lt;1,"Saudável",IF(VLOOKUP(BP117,Fundamentus!A:U,8,FALSE)&lt;3,"Estável",IF(VLOOKUP(BP117,Fundamentus!A:U,8,FALSE)&gt;3,"Alerta","n/a"))))</f>
        <v>Saudável</v>
      </c>
      <c r="EO117" s="28" t="str">
        <f t="shared" si="111"/>
        <v>Ruim</v>
      </c>
      <c r="EP117" s="17" t="str">
        <f>IF(VLOOKUP(BP117,Fundamentus!A:U,12,FALSE)&lt;2,"Subvalorizada",IF(VLOOKUP(BP117,Fundamentus!A:U,12,FALSE)&lt;6,"Muita barata",IF(VLOOKUP(BP117,Fundamentus!A:U,12,FALSE)&lt;6,"Barata",IF(VLOOKUP(BP117,Fundamentus!A:U,12,FALSE)&lt;8,"Atrativa",IF(VLOOKUP(BP117,Fundamentus!A:U,12,FALSE)&gt;8,"Supervalorizada","n/a")))))</f>
        <v>Muita barata</v>
      </c>
      <c r="ER117" s="17" t="str">
        <f>IF(VLOOKUP(BP117,Fundamentus!A:U,17,FALSE)&lt;0.1,"Fraco retorno",IF(VLOOKUP(BP117,Fundamentus!A:U,17,FALSE)&gt;0.1,"Bom retorno","n/a"))</f>
        <v>Fraco retorno</v>
      </c>
      <c r="ES117" s="17" t="str">
        <f>IF(VLOOKUP(BP117,Fundamentus!A:U,16,FALSE)&lt;0.1,"Ineficiente",IF(VLOOKUP(BP117,Fundamentus!A:U,16,FALSE)&gt;0.1,"Eficiente","n/a"))</f>
        <v>Ineficiente</v>
      </c>
      <c r="ET117" s="33" t="str">
        <f>IF(VLOOKUP(BP117,Fundamentus!A:U,16,FALSE)&lt;0.1,"Oper. Ineficiente",IF(VLOOKUP(BP117,Fundamentus!A:U,16,FALSE)&gt;0.1,"Oper.Eficiente","n/a"))</f>
        <v>Oper. Ineficiente</v>
      </c>
      <c r="EU117" s="34">
        <f>VLOOKUP(BP117,Fundamentus!A:U,14,FALSE)</f>
        <v>1.15E-2</v>
      </c>
      <c r="EV117" s="17" t="str">
        <f>IF(VLOOKUP(BP117,Fundamentus!A:U,21,FALSE)&lt;0,"Negativo",IF(VLOOKUP(BP117,Fundamentus!A:U,21,FALSE)&lt;0.05,"Fraco",IF(VLOOKUP(BP117,Fundamentus!A:U,21,FALSE)&lt;0.1,"Bom",IF(VLOOKUP(BP117,Fundamentus!A:U,21,FALSE)&gt;0.1,"Muito bom","n/a"))))</f>
        <v>Fraco</v>
      </c>
      <c r="EX117" s="29" t="str">
        <f>IF(VLOOKUP(BP117,Fundamentus!A:U,15,FALSE)&gt;1,"Bom",IF(VLOOKUP(BP117,Fundamentus!A:U,15,FALSE)&lt;1,"Ruim","n/a"))</f>
        <v>Bom</v>
      </c>
      <c r="EY117" s="17" t="str">
        <f>IF(VLOOKUP(BP117,Fundamentus!A:U,20,FALSE)&lt;0.5,"Baixa",IF(VLOOKUP(BP117,Fundamentus!A:U,20,FALSE)&lt;1,"Moderada",IF(VLOOKUP(BP117,Fundamentus!A:U,20,FALSE)&lt;2,"Alerta",IF(VLOOKUP(BP117,Fundamentus!A:U,20,FALSE)&gt;2,"Alta","n/a"))))</f>
        <v>Baixa</v>
      </c>
      <c r="EZ117" s="10"/>
    </row>
    <row r="118" spans="1:156" s="2" customFormat="1" ht="11.25" x14ac:dyDescent="0.2">
      <c r="A118" s="4">
        <v>20.61</v>
      </c>
      <c r="B118" s="4">
        <v>18.97</v>
      </c>
      <c r="C118" s="4">
        <v>18.850000000000001</v>
      </c>
      <c r="D118" s="4">
        <v>18.78</v>
      </c>
      <c r="E118" s="4">
        <v>18.32</v>
      </c>
      <c r="F118" s="4">
        <v>19.3</v>
      </c>
      <c r="G118" s="4">
        <v>18.55</v>
      </c>
      <c r="H118" s="4">
        <v>18.95</v>
      </c>
      <c r="I118" s="4">
        <v>20.78</v>
      </c>
      <c r="J118" s="4">
        <v>21.72</v>
      </c>
      <c r="K118" s="4">
        <v>21.01</v>
      </c>
      <c r="L118" s="4">
        <v>21.66</v>
      </c>
      <c r="M118" s="4">
        <v>21.58</v>
      </c>
      <c r="N118" s="4">
        <v>21.93</v>
      </c>
      <c r="O118" s="4">
        <v>23.31</v>
      </c>
      <c r="P118" s="4">
        <v>23.37</v>
      </c>
      <c r="Q118" s="4">
        <v>24</v>
      </c>
      <c r="R118" s="4">
        <v>23.82</v>
      </c>
      <c r="S118" s="4">
        <v>24.49</v>
      </c>
      <c r="T118" s="4">
        <v>25.49</v>
      </c>
      <c r="U118" s="4">
        <v>24.39</v>
      </c>
      <c r="V118" s="4">
        <v>22.7</v>
      </c>
      <c r="W118" s="4">
        <v>22.64</v>
      </c>
      <c r="X118" s="4">
        <v>22.21</v>
      </c>
      <c r="Y118" s="4">
        <v>23.63</v>
      </c>
      <c r="Z118" s="4">
        <v>24.55</v>
      </c>
      <c r="AA118" s="4">
        <v>23.96</v>
      </c>
      <c r="AB118" s="4">
        <v>22.7</v>
      </c>
      <c r="AC118" s="4">
        <v>22.66</v>
      </c>
      <c r="AD118" s="4">
        <v>22.75</v>
      </c>
      <c r="AE118" s="4">
        <v>20.56</v>
      </c>
      <c r="AF118" s="4">
        <v>20.71</v>
      </c>
      <c r="AG118" s="4">
        <v>19.52</v>
      </c>
      <c r="AH118" s="4">
        <v>18.3</v>
      </c>
      <c r="AI118" s="4">
        <v>17.989999999999998</v>
      </c>
      <c r="AJ118" s="4">
        <v>17.3</v>
      </c>
      <c r="AK118" s="4">
        <v>18.100000000000001</v>
      </c>
      <c r="AL118" s="4">
        <v>19.52</v>
      </c>
      <c r="AM118" s="4">
        <v>20.399999999999999</v>
      </c>
      <c r="AN118" s="4">
        <v>21.62</v>
      </c>
      <c r="AO118" s="4">
        <v>22.35</v>
      </c>
      <c r="AP118" s="4">
        <v>23.24</v>
      </c>
      <c r="AQ118" s="4">
        <v>23.75</v>
      </c>
      <c r="AR118" s="4">
        <v>21.21</v>
      </c>
      <c r="AS118" s="4">
        <v>22.16</v>
      </c>
      <c r="AT118" s="4">
        <v>23.33</v>
      </c>
      <c r="AU118" s="4">
        <v>24.004999999999999</v>
      </c>
      <c r="AV118" s="4">
        <v>24.79</v>
      </c>
      <c r="AW118" s="4">
        <v>25.36</v>
      </c>
      <c r="AX118" s="4">
        <v>25.93</v>
      </c>
      <c r="AY118" s="12">
        <v>27.34</v>
      </c>
      <c r="AZ118" s="12">
        <v>27.25</v>
      </c>
      <c r="BA118" s="12">
        <v>27.55</v>
      </c>
      <c r="BB118" s="15">
        <v>29.65</v>
      </c>
      <c r="BC118" s="52">
        <v>29.73</v>
      </c>
      <c r="BD118" s="52">
        <v>29.81</v>
      </c>
      <c r="BE118" s="52">
        <v>28.66</v>
      </c>
      <c r="BF118" s="52">
        <v>29.61</v>
      </c>
      <c r="BG118" s="67">
        <v>29.09</v>
      </c>
      <c r="BH118" s="52">
        <v>29.15</v>
      </c>
      <c r="BI118" s="52">
        <v>29.2</v>
      </c>
      <c r="BJ118" s="52">
        <v>29.95</v>
      </c>
      <c r="BK118" s="52">
        <v>29.75</v>
      </c>
      <c r="BL118" s="52">
        <v>29.81</v>
      </c>
      <c r="BM118" s="52">
        <v>29.09</v>
      </c>
      <c r="BN118" s="52">
        <v>30.1</v>
      </c>
      <c r="BO118" s="52" cm="1">
        <f t="array" aca="1" ref="BO118" ca="1">_FV(EC118,"Preço")</f>
        <v>30.1</v>
      </c>
      <c r="BP118" s="69" t="s">
        <v>114</v>
      </c>
      <c r="BQ118" s="36" cm="1">
        <f t="array" aca="1" ref="BQ118" ca="1">_FV(EC118,"Média de volume",TRUE)</f>
        <v>1419180</v>
      </c>
      <c r="BR118" s="36">
        <v>2276400</v>
      </c>
      <c r="BS118" s="36" cm="1">
        <f t="array" aca="1" ref="BS118" ca="1">_FV(EC118,"Volume")</f>
        <v>2276400</v>
      </c>
      <c r="BT118" s="24" cm="1">
        <f t="array" aca="1" ref="BT118" ca="1">_FV(EC118,"Beta")</f>
        <v>1.0351999999999999</v>
      </c>
      <c r="BU118" s="71" cm="1">
        <f t="array" aca="1" ref="BU118" ca="1">_FV(EC118,"Variação (%)",TRUE)</f>
        <v>2.2418E-2</v>
      </c>
      <c r="BW118" s="17" cm="1">
        <f t="array" aca="1" ref="BW118" ca="1">_FV(EC118,"Baixo")</f>
        <v>29.66</v>
      </c>
      <c r="BX118" s="17" cm="1">
        <f t="array" aca="1" ref="BX118" ca="1">_FV(EC118,"Alto")</f>
        <v>30.69</v>
      </c>
      <c r="BY118" s="24"/>
      <c r="BZ118" s="63">
        <f ca="1">SQRT(22.5*(BO118/VLOOKUP(BP118,Fundamentus!A:U,3,FALSE))*(BO118/VLOOKUP(BP118,Fundamentus!A:U,4,FALSE)))</f>
        <v>15.166898573558406</v>
      </c>
      <c r="CB118" s="62">
        <f t="shared" ca="1" si="112"/>
        <v>0</v>
      </c>
      <c r="CC118" s="8"/>
      <c r="CD118" s="61">
        <f t="shared" si="113"/>
        <v>17.3</v>
      </c>
      <c r="CE118" s="61">
        <f t="shared" si="114"/>
        <v>30.1</v>
      </c>
      <c r="CF118" s="61">
        <f t="shared" si="115"/>
        <v>23.538863636363629</v>
      </c>
      <c r="CG118" s="14"/>
      <c r="CH118" s="35">
        <f t="shared" si="98"/>
        <v>29.076487202713615</v>
      </c>
      <c r="CI118" s="15">
        <f t="shared" si="116"/>
        <v>29.77000000000001</v>
      </c>
      <c r="CJ118" s="35">
        <f t="shared" si="99"/>
        <v>30.463512797286405</v>
      </c>
      <c r="CL118" s="14"/>
      <c r="CM118" s="17">
        <f t="shared" si="100"/>
        <v>8.7666666666666622</v>
      </c>
      <c r="CN118" s="17">
        <f t="shared" si="101"/>
        <v>13.033333333333331</v>
      </c>
      <c r="CO118" s="17">
        <f t="shared" si="102"/>
        <v>21.566666666666663</v>
      </c>
      <c r="CP118" s="38">
        <f t="shared" si="117"/>
        <v>25.833333333333332</v>
      </c>
      <c r="CQ118" s="17">
        <f t="shared" si="103"/>
        <v>34.36666666666666</v>
      </c>
      <c r="CR118" s="17">
        <f t="shared" si="104"/>
        <v>38.633333333333333</v>
      </c>
      <c r="CS118" s="17">
        <f t="shared" si="105"/>
        <v>47.166666666666664</v>
      </c>
      <c r="CT118" s="2" cm="1">
        <f t="array" aca="1" ref="CT118" ca="1">MAX(_xlfn._xlws.FILTER(CM118:CS118,CM118:CS118&lt;BO118))</f>
        <v>25.833333333333332</v>
      </c>
      <c r="CU118" s="2" cm="1">
        <f t="array" aca="1" ref="CU118" ca="1">MIN(_xlfn._xlws.FILTER($CM118:$CS118,$CM118:$CS118&gt;BO118))</f>
        <v>34.36666666666666</v>
      </c>
      <c r="CV118" s="16">
        <f t="shared" ca="1" si="136"/>
        <v>0.33032258064516107</v>
      </c>
      <c r="CW118" s="20">
        <f t="shared" ca="1" si="137"/>
        <v>-0.16516129032258053</v>
      </c>
      <c r="CX118" s="20">
        <f t="shared" ca="1" si="138"/>
        <v>-0.11010752688172036</v>
      </c>
      <c r="CY118" s="20">
        <f t="shared" ca="1" si="139"/>
        <v>-6.6064516129032219E-2</v>
      </c>
      <c r="CZ118" s="20">
        <f t="shared" ca="1" si="140"/>
        <v>-3.6702508960573449E-2</v>
      </c>
      <c r="DA118" s="20">
        <f t="shared" ca="1" si="141"/>
        <v>-1.9430740037950651E-2</v>
      </c>
      <c r="DB118" s="20">
        <f t="shared" ca="1" si="142"/>
        <v>-1.0009775171065487E-2</v>
      </c>
      <c r="DC118" s="20">
        <f t="shared" ca="1" si="143"/>
        <v>-5.0818858560794013E-3</v>
      </c>
      <c r="DD118" s="21">
        <f t="shared" ca="1" si="144"/>
        <v>5.0818858560794013E-3</v>
      </c>
      <c r="DE118" s="21">
        <f t="shared" ca="1" si="145"/>
        <v>1.0009775171065487E-2</v>
      </c>
      <c r="DF118" s="21">
        <f t="shared" ca="1" si="146"/>
        <v>1.9430740037950651E-2</v>
      </c>
      <c r="DG118" s="21">
        <f t="shared" ca="1" si="147"/>
        <v>3.6702508960573449E-2</v>
      </c>
      <c r="DH118" s="21">
        <f t="shared" ca="1" si="148"/>
        <v>6.6064516129032219E-2</v>
      </c>
      <c r="DI118" s="21">
        <f t="shared" ca="1" si="149"/>
        <v>0.11010752688172036</v>
      </c>
      <c r="DJ118" s="21">
        <f t="shared" ca="1" si="150"/>
        <v>0.16516129032258053</v>
      </c>
      <c r="DL118" s="16" cm="1">
        <f t="array" aca="1" ref="DL118" ca="1">MAX(_xlfn._xlws.FILTER(CW118:DJ118,CW118:DJ118&lt;BU118))</f>
        <v>1.9430740037950651E-2</v>
      </c>
      <c r="DM118" s="16" cm="1">
        <f t="array" aca="1" ref="DM118" ca="1">MIN(_xlfn._xlws.FILTER(CW118:DJ118,CW118:DJ118&gt;BU118))</f>
        <v>3.6702508960573449E-2</v>
      </c>
      <c r="DN118" s="2" cm="1">
        <f t="array" aca="1" ref="DN118" ca="1">_FV(EC118,"Fechamento anterior",TRUE)</f>
        <v>29.44</v>
      </c>
      <c r="DO118" s="28">
        <f t="shared" ca="1" si="106"/>
        <v>0.17298391590948023</v>
      </c>
      <c r="DP118" s="15">
        <f t="shared" ca="1" si="151"/>
        <v>30.012040986717267</v>
      </c>
      <c r="DQ118" s="15">
        <f t="shared" ca="1" si="152"/>
        <v>30.520521863799285</v>
      </c>
      <c r="DR118" s="9"/>
      <c r="DS118" s="9"/>
      <c r="DT118" s="9"/>
      <c r="DU118" s="89">
        <v>4.8708450473309061E-3</v>
      </c>
      <c r="DV118" s="89">
        <f t="shared" ca="1" si="107"/>
        <v>1.7271768922622797E-2</v>
      </c>
      <c r="DW118" s="72">
        <f t="shared" ca="1" si="108"/>
        <v>0.47583837139160007</v>
      </c>
      <c r="DX118" s="37"/>
      <c r="DY118" s="35">
        <f t="shared" si="118"/>
        <v>0.34675639864319757</v>
      </c>
      <c r="DZ118" s="56"/>
      <c r="EA118" s="56"/>
      <c r="EC118" s="2" t="e" vm="117">
        <v>#VALUE!</v>
      </c>
      <c r="EE118" s="10" cm="1">
        <f t="array" aca="1" ref="EE118" ca="1">_FV(EC118,"Ações em circulação",TRUE)</f>
        <v>291875100</v>
      </c>
      <c r="EF118" s="18">
        <f>VLOOKUP(BP118,Fundamentus!A:U,5,FALSE)</f>
        <v>1.978</v>
      </c>
      <c r="EG118" s="2">
        <f t="shared" ca="1" si="109"/>
        <v>4441577608.695652</v>
      </c>
      <c r="EH118" s="17">
        <v>803037231.65217388</v>
      </c>
      <c r="EI118" s="17">
        <f t="shared" ca="1" si="110"/>
        <v>803037231.65217388</v>
      </c>
      <c r="EK118" s="16">
        <f t="shared" ca="1" si="97"/>
        <v>0</v>
      </c>
      <c r="EL118" s="32" t="str">
        <f>IF(VLOOKUP(BP118,Fundamentus!A:U,3,FALSE)&lt;15,"Bom",IF(VLOOKUP(BP118,Fundamentus!A:U,3,FALSE)&gt;15,"Ruim","n/a"))</f>
        <v>Bom</v>
      </c>
      <c r="EM118" s="28" t="str">
        <f>IF(VLOOKUP(BP118,Fundamentus!A:U,4,FALSE)&lt;1,"Baixo",IF(VLOOKUP(BP118,Fundamentus!A:U,4,FALSE)&lt;1.5,"Moderado",IF(VLOOKUP(BP118,Fundamentus!A:U,4,FALSE)&gt;1.5,"Alto","n/a")))</f>
        <v>Alto</v>
      </c>
      <c r="EN118" s="17" t="str">
        <f>IF(VLOOKUP(BP118,Fundamentus!A:U,8,FALSE)&lt;0,"Risco elevado",IF(VLOOKUP(BP118,Fundamentus!A:U,8,FALSE)&lt;1,"Saudável",IF(VLOOKUP(BP118,Fundamentus!A:U,8,FALSE)&lt;3,"Estável",IF(VLOOKUP(BP118,Fundamentus!A:U,8,FALSE)&gt;3,"Alerta","n/a"))))</f>
        <v>Alerta</v>
      </c>
      <c r="EO118" s="28" t="str">
        <f t="shared" si="111"/>
        <v>Bom</v>
      </c>
      <c r="EP118" s="17" t="str">
        <f>IF(VLOOKUP(BP118,Fundamentus!A:U,12,FALSE)&lt;2,"Subvalorizada",IF(VLOOKUP(BP118,Fundamentus!A:U,12,FALSE)&lt;6,"Muita barata",IF(VLOOKUP(BP118,Fundamentus!A:U,12,FALSE)&lt;6,"Barata",IF(VLOOKUP(BP118,Fundamentus!A:U,12,FALSE)&lt;8,"Atrativa",IF(VLOOKUP(BP118,Fundamentus!A:U,12,FALSE)&gt;8,"Supervalorizada","n/a")))))</f>
        <v>Atrativa</v>
      </c>
      <c r="ER118" s="17" t="str">
        <f>IF(VLOOKUP(BP118,Fundamentus!A:U,17,FALSE)&lt;0.1,"Fraco retorno",IF(VLOOKUP(BP118,Fundamentus!A:U,17,FALSE)&gt;0.1,"Bom retorno","n/a"))</f>
        <v>Bom retorno</v>
      </c>
      <c r="ES118" s="17" t="str">
        <f>IF(VLOOKUP(BP118,Fundamentus!A:U,16,FALSE)&lt;0.1,"Ineficiente",IF(VLOOKUP(BP118,Fundamentus!A:U,16,FALSE)&gt;0.1,"Eficiente","n/a"))</f>
        <v>Eficiente</v>
      </c>
      <c r="ET118" s="33" t="str">
        <f>IF(VLOOKUP(BP118,Fundamentus!A:U,16,FALSE)&lt;0.1,"Oper. Ineficiente",IF(VLOOKUP(BP118,Fundamentus!A:U,16,FALSE)&gt;0.1,"Oper.Eficiente","n/a"))</f>
        <v>Oper.Eficiente</v>
      </c>
      <c r="EU118" s="34">
        <f>VLOOKUP(BP118,Fundamentus!A:U,14,FALSE)</f>
        <v>0.18079999999999999</v>
      </c>
      <c r="EV118" s="17" t="str">
        <f>IF(VLOOKUP(BP118,Fundamentus!A:U,21,FALSE)&lt;0,"Negativo",IF(VLOOKUP(BP118,Fundamentus!A:U,21,FALSE)&lt;0.05,"Fraco",IF(VLOOKUP(BP118,Fundamentus!A:U,21,FALSE)&lt;0.1,"Bom",IF(VLOOKUP(BP118,Fundamentus!A:U,21,FALSE)&gt;0.1,"Muito bom","n/a"))))</f>
        <v>Muito bom</v>
      </c>
      <c r="EX118" s="29" t="str">
        <f>IF(VLOOKUP(BP118,Fundamentus!A:U,15,FALSE)&gt;1,"Bom",IF(VLOOKUP(BP118,Fundamentus!A:U,15,FALSE)&lt;1,"Ruim","n/a"))</f>
        <v>Bom</v>
      </c>
      <c r="EY118" s="17" t="str">
        <f>IF(VLOOKUP(BP118,Fundamentus!A:U,20,FALSE)&lt;0.5,"Baixa",IF(VLOOKUP(BP118,Fundamentus!A:U,20,FALSE)&lt;1,"Moderada",IF(VLOOKUP(BP118,Fundamentus!A:U,20,FALSE)&lt;2,"Alerta",IF(VLOOKUP(BP118,Fundamentus!A:U,20,FALSE)&gt;2,"Alta","n/a"))))</f>
        <v>Alerta</v>
      </c>
      <c r="EZ118" s="10"/>
    </row>
    <row r="119" spans="1:156" s="2" customFormat="1" ht="11.25" x14ac:dyDescent="0.2">
      <c r="A119" s="4">
        <v>26.63</v>
      </c>
      <c r="B119" s="4">
        <v>25.1</v>
      </c>
      <c r="C119" s="4">
        <v>24.84</v>
      </c>
      <c r="D119" s="4">
        <v>23.7</v>
      </c>
      <c r="E119" s="4">
        <v>23.17</v>
      </c>
      <c r="F119" s="4">
        <v>22.16</v>
      </c>
      <c r="G119" s="4">
        <v>21.75</v>
      </c>
      <c r="H119" s="4">
        <v>21.59</v>
      </c>
      <c r="I119" s="4">
        <v>21.57</v>
      </c>
      <c r="J119" s="4">
        <v>22.1</v>
      </c>
      <c r="K119" s="4">
        <v>22.7</v>
      </c>
      <c r="L119" s="4">
        <v>23.22</v>
      </c>
      <c r="M119" s="4">
        <v>22.9</v>
      </c>
      <c r="N119" s="4">
        <v>22.84</v>
      </c>
      <c r="O119" s="4">
        <v>23.05</v>
      </c>
      <c r="P119" s="4">
        <v>24.06</v>
      </c>
      <c r="Q119" s="4">
        <v>23.65</v>
      </c>
      <c r="R119" s="4">
        <v>23.36</v>
      </c>
      <c r="S119" s="4">
        <v>23.02</v>
      </c>
      <c r="T119" s="4">
        <v>22.8</v>
      </c>
      <c r="U119" s="4">
        <v>21.35</v>
      </c>
      <c r="V119" s="4">
        <v>21.34</v>
      </c>
      <c r="W119" s="4">
        <v>21.18</v>
      </c>
      <c r="X119" s="4">
        <v>20.84</v>
      </c>
      <c r="Y119" s="4">
        <v>20.46</v>
      </c>
      <c r="Z119" s="4">
        <v>20.100000000000001</v>
      </c>
      <c r="AA119" s="4">
        <v>20.5</v>
      </c>
      <c r="AB119" s="4">
        <v>20.43</v>
      </c>
      <c r="AC119" s="4">
        <v>19.29</v>
      </c>
      <c r="AD119" s="4">
        <v>18.32</v>
      </c>
      <c r="AE119" s="4">
        <v>17.940000000000001</v>
      </c>
      <c r="AF119" s="4">
        <v>17.670000000000002</v>
      </c>
      <c r="AG119" s="4">
        <v>16.86</v>
      </c>
      <c r="AH119" s="4">
        <v>16.25</v>
      </c>
      <c r="AI119" s="4">
        <v>15.85</v>
      </c>
      <c r="AJ119" s="4">
        <v>15.55</v>
      </c>
      <c r="AK119" s="4">
        <v>15.57</v>
      </c>
      <c r="AL119" s="4">
        <v>15.9</v>
      </c>
      <c r="AM119" s="4">
        <v>16.079999999999998</v>
      </c>
      <c r="AN119" s="4">
        <v>16.54</v>
      </c>
      <c r="AO119" s="4">
        <v>16.09</v>
      </c>
      <c r="AP119" s="4">
        <v>17.350000000000001</v>
      </c>
      <c r="AQ119" s="4">
        <v>16.399999999999999</v>
      </c>
      <c r="AR119" s="4">
        <v>16.63</v>
      </c>
      <c r="AS119" s="4">
        <v>15.98</v>
      </c>
      <c r="AT119" s="4">
        <v>17.12</v>
      </c>
      <c r="AU119" s="4">
        <v>17.795000000000002</v>
      </c>
      <c r="AV119" s="4">
        <v>17.57</v>
      </c>
      <c r="AW119" s="4">
        <v>17</v>
      </c>
      <c r="AX119" s="4">
        <v>16.78</v>
      </c>
      <c r="AY119" s="12">
        <v>17.25</v>
      </c>
      <c r="AZ119" s="12">
        <v>18.010000000000002</v>
      </c>
      <c r="BA119" s="12">
        <v>17.829999999999998</v>
      </c>
      <c r="BB119" s="15">
        <v>16.2</v>
      </c>
      <c r="BC119" s="52">
        <v>17.36</v>
      </c>
      <c r="BD119" s="52">
        <v>16.63</v>
      </c>
      <c r="BE119" s="52">
        <v>16.29</v>
      </c>
      <c r="BF119" s="52">
        <v>16.190000000000001</v>
      </c>
      <c r="BG119" s="67">
        <v>16.989999999999998</v>
      </c>
      <c r="BH119" s="52">
        <v>17.09</v>
      </c>
      <c r="BI119" s="52">
        <v>16.86</v>
      </c>
      <c r="BJ119" s="52">
        <v>17.989999999999998</v>
      </c>
      <c r="BK119" s="52">
        <v>17.100000000000001</v>
      </c>
      <c r="BL119" s="52">
        <v>15.7</v>
      </c>
      <c r="BM119" s="52">
        <v>16.54</v>
      </c>
      <c r="BN119" s="52">
        <v>16.920000000000002</v>
      </c>
      <c r="BO119" s="52" cm="1">
        <f t="array" aca="1" ref="BO119" ca="1">_FV(EC119,"Preço")</f>
        <v>16.920000000000002</v>
      </c>
      <c r="BP119" s="69" t="s">
        <v>115</v>
      </c>
      <c r="BQ119" s="36" cm="1">
        <f t="array" aca="1" ref="BQ119" ca="1">_FV(EC119,"Média de volume",TRUE)</f>
        <v>5625090</v>
      </c>
      <c r="BR119" s="36">
        <v>6657900</v>
      </c>
      <c r="BS119" s="36" cm="1">
        <f t="array" aca="1" ref="BS119" ca="1">_FV(EC119,"Volume")</f>
        <v>6657900</v>
      </c>
      <c r="BT119" s="24" cm="1">
        <f t="array" aca="1" ref="BT119" ca="1">_FV(EC119,"Beta")</f>
        <v>1.1595</v>
      </c>
      <c r="BU119" s="71" cm="1">
        <f t="array" aca="1" ref="BU119" ca="1">_FV(EC119,"Variação (%)",TRUE)</f>
        <v>-1.456E-2</v>
      </c>
      <c r="BW119" s="17" cm="1">
        <f t="array" aca="1" ref="BW119" ca="1">_FV(EC119,"Baixo")</f>
        <v>16.920000000000002</v>
      </c>
      <c r="BX119" s="17" cm="1">
        <f t="array" aca="1" ref="BX119" ca="1">_FV(EC119,"Alto")</f>
        <v>17.440000000000001</v>
      </c>
      <c r="BY119" s="24"/>
      <c r="BZ119" s="63">
        <f ca="1">SQRT(22.5*(BO119/VLOOKUP(BP119,Fundamentus!A:U,3,FALSE))*(BO119/VLOOKUP(BP119,Fundamentus!A:U,4,FALSE)))</f>
        <v>25.995721705193066</v>
      </c>
      <c r="CB119" s="62">
        <f t="shared" ca="1" si="112"/>
        <v>0</v>
      </c>
      <c r="CC119" s="8"/>
      <c r="CD119" s="61">
        <f t="shared" si="113"/>
        <v>15.55</v>
      </c>
      <c r="CE119" s="61">
        <f t="shared" si="114"/>
        <v>26.63</v>
      </c>
      <c r="CF119" s="61">
        <f t="shared" si="115"/>
        <v>19.271136363636362</v>
      </c>
      <c r="CG119" s="14"/>
      <c r="CH119" s="35">
        <f t="shared" si="98"/>
        <v>15.147190568089833</v>
      </c>
      <c r="CI119" s="15">
        <f t="shared" si="116"/>
        <v>16.640000000000015</v>
      </c>
      <c r="CJ119" s="35">
        <f t="shared" si="99"/>
        <v>18.132809431910196</v>
      </c>
      <c r="CL119" s="14"/>
      <c r="CM119" s="17">
        <f t="shared" si="100"/>
        <v>1.6900000000000013</v>
      </c>
      <c r="CN119" s="17">
        <f t="shared" si="101"/>
        <v>8.620000000000001</v>
      </c>
      <c r="CO119" s="17">
        <f t="shared" si="102"/>
        <v>12.77</v>
      </c>
      <c r="CP119" s="38">
        <f t="shared" si="117"/>
        <v>19.7</v>
      </c>
      <c r="CQ119" s="17">
        <f t="shared" si="103"/>
        <v>23.849999999999998</v>
      </c>
      <c r="CR119" s="17">
        <f t="shared" si="104"/>
        <v>30.779999999999998</v>
      </c>
      <c r="CS119" s="17">
        <f t="shared" si="105"/>
        <v>34.929999999999993</v>
      </c>
      <c r="CT119" s="2" cm="1">
        <f t="array" aca="1" ref="CT119" ca="1">MAX(_xlfn._xlws.FILTER(CM119:CS119,CM119:CS119&lt;BO119))</f>
        <v>12.77</v>
      </c>
      <c r="CU119" s="2" cm="1">
        <f t="array" aca="1" ref="CU119" ca="1">MIN(_xlfn._xlws.FILTER($CM119:$CS119,$CM119:$CS119&gt;BO119))</f>
        <v>19.7</v>
      </c>
      <c r="CV119" s="16">
        <f t="shared" ca="1" si="136"/>
        <v>0.54267815191855906</v>
      </c>
      <c r="CW119" s="20">
        <f t="shared" ca="1" si="137"/>
        <v>-0.27133907595927953</v>
      </c>
      <c r="CX119" s="20">
        <f t="shared" ca="1" si="138"/>
        <v>-0.18089271730618636</v>
      </c>
      <c r="CY119" s="20">
        <f t="shared" ca="1" si="139"/>
        <v>-0.10853563038371181</v>
      </c>
      <c r="CZ119" s="20">
        <f t="shared" ca="1" si="140"/>
        <v>-6.029757243539545E-2</v>
      </c>
      <c r="DA119" s="20">
        <f t="shared" ca="1" si="141"/>
        <v>-3.1922244230503473E-2</v>
      </c>
      <c r="DB119" s="20">
        <f t="shared" ca="1" si="142"/>
        <v>-1.6444792482380576E-2</v>
      </c>
      <c r="DC119" s="20">
        <f t="shared" ca="1" si="143"/>
        <v>-8.3488946449009078E-3</v>
      </c>
      <c r="DD119" s="21">
        <f t="shared" ca="1" si="144"/>
        <v>8.3488946449009078E-3</v>
      </c>
      <c r="DE119" s="21">
        <f t="shared" ca="1" si="145"/>
        <v>1.6444792482380576E-2</v>
      </c>
      <c r="DF119" s="21">
        <f t="shared" ca="1" si="146"/>
        <v>3.1922244230503473E-2</v>
      </c>
      <c r="DG119" s="21">
        <f t="shared" ca="1" si="147"/>
        <v>6.029757243539545E-2</v>
      </c>
      <c r="DH119" s="21">
        <f t="shared" ca="1" si="148"/>
        <v>0.10853563038371181</v>
      </c>
      <c r="DI119" s="21">
        <f t="shared" ca="1" si="149"/>
        <v>0.18089271730618636</v>
      </c>
      <c r="DJ119" s="21">
        <f t="shared" ca="1" si="150"/>
        <v>0.27133907595927953</v>
      </c>
      <c r="DL119" s="16" cm="1">
        <f t="array" aca="1" ref="DL119" ca="1">MAX(_xlfn._xlws.FILTER(CW119:DJ119,CW119:DJ119&lt;BU119))</f>
        <v>-1.6444792482380576E-2</v>
      </c>
      <c r="DM119" s="16" cm="1">
        <f t="array" aca="1" ref="DM119" ca="1">MIN(_xlfn._xlws.FILTER(CW119:DJ119,CW119:DJ119&gt;BU119))</f>
        <v>-8.3488946449009078E-3</v>
      </c>
      <c r="DN119" s="2" cm="1">
        <f t="array" aca="1" ref="DN119" ca="1">_FV(EC119,"Fechamento anterior",TRUE)</f>
        <v>17.170000000000002</v>
      </c>
      <c r="DO119" s="28">
        <f t="shared" ca="1" si="106"/>
        <v>0.23277380259033856</v>
      </c>
      <c r="DP119" s="15">
        <f t="shared" ca="1" si="151"/>
        <v>16.887642913077528</v>
      </c>
      <c r="DQ119" s="15">
        <f t="shared" ca="1" si="152"/>
        <v>17.026649478947053</v>
      </c>
      <c r="DR119" s="9"/>
      <c r="DS119" s="9"/>
      <c r="DT119" s="9"/>
      <c r="DU119" s="89">
        <v>1.7500311831147034E-2</v>
      </c>
      <c r="DV119" s="89">
        <f t="shared" ca="1" si="107"/>
        <v>8.0958978374796684E-3</v>
      </c>
      <c r="DW119" s="72">
        <f t="shared" ca="1" si="108"/>
        <v>0.1875658031190908</v>
      </c>
      <c r="DX119" s="37"/>
      <c r="DY119" s="35">
        <f t="shared" si="118"/>
        <v>0.74640471595509095</v>
      </c>
      <c r="DZ119" s="56"/>
      <c r="EA119" s="56"/>
      <c r="EC119" s="2" t="e" vm="118">
        <v>#VALUE!</v>
      </c>
      <c r="EE119" s="10" cm="1">
        <f t="array" aca="1" ref="EE119" ca="1">_FV(EC119,"Ações em circulação",TRUE)</f>
        <v>1115507000</v>
      </c>
      <c r="EF119" s="18">
        <f>VLOOKUP(BP119,Fundamentus!A:U,5,FALSE)</f>
        <v>0.13300000000000001</v>
      </c>
      <c r="EG119" s="2">
        <f t="shared" ca="1" si="109"/>
        <v>141912619849.62405</v>
      </c>
      <c r="EH119" s="17">
        <v>2526044633.323308</v>
      </c>
      <c r="EI119" s="17">
        <f t="shared" ca="1" si="110"/>
        <v>2526044633.323308</v>
      </c>
      <c r="EK119" s="16">
        <f t="shared" ca="1" si="97"/>
        <v>0</v>
      </c>
      <c r="EL119" s="32" t="str">
        <f>IF(VLOOKUP(BP119,Fundamentus!A:U,3,FALSE)&lt;15,"Bom",IF(VLOOKUP(BP119,Fundamentus!A:U,3,FALSE)&gt;15,"Ruim","n/a"))</f>
        <v>Bom</v>
      </c>
      <c r="EM119" s="28" t="str">
        <f>IF(VLOOKUP(BP119,Fundamentus!A:U,4,FALSE)&lt;1,"Baixo",IF(VLOOKUP(BP119,Fundamentus!A:U,4,FALSE)&lt;1.5,"Moderado",IF(VLOOKUP(BP119,Fundamentus!A:U,4,FALSE)&gt;1.5,"Alto","n/a")))</f>
        <v>Moderado</v>
      </c>
      <c r="EN119" s="17" t="str">
        <f>IF(VLOOKUP(BP119,Fundamentus!A:U,8,FALSE)&lt;0,"Risco elevado",IF(VLOOKUP(BP119,Fundamentus!A:U,8,FALSE)&lt;1,"Saudável",IF(VLOOKUP(BP119,Fundamentus!A:U,8,FALSE)&lt;3,"Estável",IF(VLOOKUP(BP119,Fundamentus!A:U,8,FALSE)&gt;3,"Alerta","n/a"))))</f>
        <v>Estável</v>
      </c>
      <c r="EO119" s="28" t="str">
        <f t="shared" si="111"/>
        <v>Ruim</v>
      </c>
      <c r="EP119" s="17" t="str">
        <f>IF(VLOOKUP(BP119,Fundamentus!A:U,12,FALSE)&lt;2,"Subvalorizada",IF(VLOOKUP(BP119,Fundamentus!A:U,12,FALSE)&lt;6,"Muita barata",IF(VLOOKUP(BP119,Fundamentus!A:U,12,FALSE)&lt;6,"Barata",IF(VLOOKUP(BP119,Fundamentus!A:U,12,FALSE)&lt;8,"Atrativa",IF(VLOOKUP(BP119,Fundamentus!A:U,12,FALSE)&gt;8,"Supervalorizada","n/a")))))</f>
        <v>Muita barata</v>
      </c>
      <c r="ER119" s="17" t="str">
        <f>IF(VLOOKUP(BP119,Fundamentus!A:U,17,FALSE)&lt;0.1,"Fraco retorno",IF(VLOOKUP(BP119,Fundamentus!A:U,17,FALSE)&gt;0.1,"Bom retorno","n/a"))</f>
        <v>Bom retorno</v>
      </c>
      <c r="ES119" s="17" t="str">
        <f>IF(VLOOKUP(BP119,Fundamentus!A:U,16,FALSE)&lt;0.1,"Ineficiente",IF(VLOOKUP(BP119,Fundamentus!A:U,16,FALSE)&gt;0.1,"Eficiente","n/a"))</f>
        <v>Eficiente</v>
      </c>
      <c r="ET119" s="33" t="str">
        <f>IF(VLOOKUP(BP119,Fundamentus!A:U,16,FALSE)&lt;0.1,"Oper. Ineficiente",IF(VLOOKUP(BP119,Fundamentus!A:U,16,FALSE)&gt;0.1,"Oper.Eficiente","n/a"))</f>
        <v>Oper.Eficiente</v>
      </c>
      <c r="EU119" s="34">
        <f>VLOOKUP(BP119,Fundamentus!A:U,14,FALSE)</f>
        <v>1.78E-2</v>
      </c>
      <c r="EV119" s="17" t="str">
        <f>IF(VLOOKUP(BP119,Fundamentus!A:U,21,FALSE)&lt;0,"Negativo",IF(VLOOKUP(BP119,Fundamentus!A:U,21,FALSE)&lt;0.05,"Fraco",IF(VLOOKUP(BP119,Fundamentus!A:U,21,FALSE)&lt;0.1,"Bom",IF(VLOOKUP(BP119,Fundamentus!A:U,21,FALSE)&gt;0.1,"Muito bom","n/a"))))</f>
        <v>Muito bom</v>
      </c>
      <c r="EX119" s="29" t="str">
        <f>IF(VLOOKUP(BP119,Fundamentus!A:U,15,FALSE)&gt;1,"Bom",IF(VLOOKUP(BP119,Fundamentus!A:U,15,FALSE)&lt;1,"Ruim","n/a"))</f>
        <v>Bom</v>
      </c>
      <c r="EY119" s="17" t="str">
        <f>IF(VLOOKUP(BP119,Fundamentus!A:U,20,FALSE)&lt;0.5,"Baixa",IF(VLOOKUP(BP119,Fundamentus!A:U,20,FALSE)&lt;1,"Moderada",IF(VLOOKUP(BP119,Fundamentus!A:U,20,FALSE)&lt;2,"Alerta",IF(VLOOKUP(BP119,Fundamentus!A:U,20,FALSE)&gt;2,"Alta","n/a"))))</f>
        <v>Moderada</v>
      </c>
      <c r="EZ119" s="10"/>
    </row>
    <row r="120" spans="1:156" s="2" customFormat="1" ht="11.25" x14ac:dyDescent="0.2">
      <c r="A120" s="4">
        <v>7.83</v>
      </c>
      <c r="B120" s="4">
        <v>7.67</v>
      </c>
      <c r="C120" s="4">
        <v>7.7</v>
      </c>
      <c r="D120" s="4">
        <v>7.54</v>
      </c>
      <c r="E120" s="4">
        <v>7.21</v>
      </c>
      <c r="F120" s="4">
        <v>7.01</v>
      </c>
      <c r="G120" s="4">
        <v>6.7</v>
      </c>
      <c r="H120" s="4">
        <v>6.6</v>
      </c>
      <c r="I120" s="4">
        <v>6.59</v>
      </c>
      <c r="J120" s="4">
        <v>6.85</v>
      </c>
      <c r="K120" s="4">
        <v>7.18</v>
      </c>
      <c r="L120" s="4">
        <v>7.08</v>
      </c>
      <c r="M120" s="4">
        <v>7.19</v>
      </c>
      <c r="N120" s="4">
        <v>7.16</v>
      </c>
      <c r="O120" s="4">
        <v>8.0500000000000007</v>
      </c>
      <c r="P120" s="4">
        <v>7.69</v>
      </c>
      <c r="Q120" s="4">
        <v>8.41</v>
      </c>
      <c r="R120" s="4">
        <v>8.2100000000000009</v>
      </c>
      <c r="S120" s="4">
        <v>7.84</v>
      </c>
      <c r="T120" s="4">
        <v>8.09</v>
      </c>
      <c r="U120" s="4">
        <v>7.89</v>
      </c>
      <c r="V120" s="4">
        <v>8.25</v>
      </c>
      <c r="W120" s="4">
        <v>8.65</v>
      </c>
      <c r="X120" s="4">
        <v>8.0299999999999994</v>
      </c>
      <c r="Y120" s="4">
        <v>8.0399999999999991</v>
      </c>
      <c r="Z120" s="4">
        <v>8.4499999999999993</v>
      </c>
      <c r="AA120" s="4">
        <v>8.06</v>
      </c>
      <c r="AB120" s="4">
        <v>7.94</v>
      </c>
      <c r="AC120" s="4">
        <v>7.66</v>
      </c>
      <c r="AD120" s="4">
        <v>7.56</v>
      </c>
      <c r="AE120" s="4">
        <v>7.25</v>
      </c>
      <c r="AF120" s="4">
        <v>7</v>
      </c>
      <c r="AG120" s="4">
        <v>6.49</v>
      </c>
      <c r="AH120" s="4">
        <v>6.11</v>
      </c>
      <c r="AI120" s="4">
        <v>6.07</v>
      </c>
      <c r="AJ120" s="4">
        <v>5.78</v>
      </c>
      <c r="AK120" s="4">
        <v>5.91</v>
      </c>
      <c r="AL120" s="4">
        <v>5.9</v>
      </c>
      <c r="AM120" s="4">
        <v>5.92</v>
      </c>
      <c r="AN120" s="4">
        <v>5.9</v>
      </c>
      <c r="AO120" s="4">
        <v>6.05</v>
      </c>
      <c r="AP120" s="4">
        <v>6.31</v>
      </c>
      <c r="AQ120" s="4">
        <v>6.21</v>
      </c>
      <c r="AR120" s="4">
        <v>5.65</v>
      </c>
      <c r="AS120" s="4">
        <v>5.79</v>
      </c>
      <c r="AT120" s="4">
        <v>5.59</v>
      </c>
      <c r="AU120" s="4">
        <v>5.6550000000000002</v>
      </c>
      <c r="AV120" s="4">
        <v>5.51</v>
      </c>
      <c r="AW120" s="4">
        <v>5.38</v>
      </c>
      <c r="AX120" s="4">
        <v>5.2</v>
      </c>
      <c r="AY120" s="12">
        <v>5.16</v>
      </c>
      <c r="AZ120" s="12">
        <v>5.47</v>
      </c>
      <c r="BA120" s="12">
        <v>5.53</v>
      </c>
      <c r="BB120" s="15">
        <v>5.22</v>
      </c>
      <c r="BC120" s="52">
        <v>5.34</v>
      </c>
      <c r="BD120" s="52">
        <v>5.45</v>
      </c>
      <c r="BE120" s="52">
        <v>5.55</v>
      </c>
      <c r="BF120" s="52">
        <v>5.68</v>
      </c>
      <c r="BG120" s="67">
        <v>5.55</v>
      </c>
      <c r="BH120" s="52">
        <v>5.68</v>
      </c>
      <c r="BI120" s="52">
        <v>5.68</v>
      </c>
      <c r="BJ120" s="52">
        <v>5.72</v>
      </c>
      <c r="BK120" s="52">
        <v>5.35</v>
      </c>
      <c r="BL120" s="52">
        <v>5.14</v>
      </c>
      <c r="BM120" s="52">
        <v>5.8</v>
      </c>
      <c r="BN120" s="52">
        <v>5.61</v>
      </c>
      <c r="BO120" s="52" cm="1">
        <f t="array" aca="1" ref="BO120" ca="1">_FV(EC120,"Preço")</f>
        <v>5.61</v>
      </c>
      <c r="BP120" s="69" t="s">
        <v>149</v>
      </c>
      <c r="BQ120" s="36" cm="1">
        <f t="array" aca="1" ref="BQ120" ca="1">_FV(EC120,"Média de volume",TRUE)</f>
        <v>3237230</v>
      </c>
      <c r="BR120" s="36">
        <v>2744900</v>
      </c>
      <c r="BS120" s="36" cm="1">
        <f t="array" aca="1" ref="BS120" ca="1">_FV(EC120,"Volume")</f>
        <v>2744900</v>
      </c>
      <c r="BT120" s="24" cm="1">
        <f t="array" aca="1" ref="BT120" ca="1">_FV(EC120,"Beta")</f>
        <v>0.73899999999999999</v>
      </c>
      <c r="BU120" s="71" cm="1">
        <f t="array" aca="1" ref="BU120" ca="1">_FV(EC120,"Variação (%)",TRUE)</f>
        <v>-7.0799999999999995E-3</v>
      </c>
      <c r="BW120" s="17" cm="1">
        <f t="array" aca="1" ref="BW120" ca="1">_FV(EC120,"Baixo")</f>
        <v>5.6</v>
      </c>
      <c r="BX120" s="17" cm="1">
        <f t="array" aca="1" ref="BX120" ca="1">_FV(EC120,"Alto")</f>
        <v>5.79</v>
      </c>
      <c r="BY120" s="24"/>
      <c r="BZ120" s="63">
        <f ca="1">SQRT(22.5*(BO120/VLOOKUP(BP120,Fundamentus!A:U,3,FALSE))*(BO120/VLOOKUP(BP120,Fundamentus!A:U,4,FALSE)))</f>
        <v>8.0228042330459566</v>
      </c>
      <c r="CB120" s="62">
        <f t="shared" ca="1" si="112"/>
        <v>0</v>
      </c>
      <c r="CC120" s="8"/>
      <c r="CD120" s="61">
        <f t="shared" si="113"/>
        <v>5.14</v>
      </c>
      <c r="CE120" s="61">
        <f t="shared" si="114"/>
        <v>8.65</v>
      </c>
      <c r="CF120" s="61">
        <f t="shared" si="115"/>
        <v>6.6171969696969697</v>
      </c>
      <c r="CG120" s="14"/>
      <c r="CH120" s="35">
        <f t="shared" si="98"/>
        <v>5.3453307238554117</v>
      </c>
      <c r="CI120" s="15">
        <f t="shared" si="116"/>
        <v>5.8350000000000364</v>
      </c>
      <c r="CJ120" s="35">
        <f t="shared" si="99"/>
        <v>6.324669276144661</v>
      </c>
      <c r="CL120" s="14"/>
      <c r="CM120" s="17">
        <f t="shared" si="100"/>
        <v>0.77333333333333076</v>
      </c>
      <c r="CN120" s="17">
        <f t="shared" si="101"/>
        <v>2.9566666666666652</v>
      </c>
      <c r="CO120" s="17">
        <f t="shared" si="102"/>
        <v>4.2833333333333314</v>
      </c>
      <c r="CP120" s="38">
        <f t="shared" si="117"/>
        <v>6.4666666666666659</v>
      </c>
      <c r="CQ120" s="17">
        <f t="shared" si="103"/>
        <v>7.7933333333333321</v>
      </c>
      <c r="CR120" s="17">
        <f t="shared" si="104"/>
        <v>9.9766666666666666</v>
      </c>
      <c r="CS120" s="17">
        <f t="shared" si="105"/>
        <v>11.303333333333333</v>
      </c>
      <c r="CT120" s="2" cm="1">
        <f t="array" aca="1" ref="CT120" ca="1">MAX(_xlfn._xlws.FILTER(CM120:CS120,CM120:CS120&lt;BO120))</f>
        <v>4.2833333333333314</v>
      </c>
      <c r="CU120" s="2" cm="1">
        <f t="array" aca="1" ref="CU120" ca="1">MIN(_xlfn._xlws.FILTER($CM120:$CS120,$CM120:$CS120&gt;BO120))</f>
        <v>6.4666666666666659</v>
      </c>
      <c r="CV120" s="16">
        <f t="shared" ca="1" si="136"/>
        <v>0.50972762645914438</v>
      </c>
      <c r="CW120" s="20">
        <f t="shared" ca="1" si="137"/>
        <v>-0.25486381322957219</v>
      </c>
      <c r="CX120" s="20">
        <f t="shared" ca="1" si="138"/>
        <v>-0.1699092088197148</v>
      </c>
      <c r="CY120" s="20">
        <f t="shared" ca="1" si="139"/>
        <v>-0.10194552529182888</v>
      </c>
      <c r="CZ120" s="20">
        <f t="shared" ca="1" si="140"/>
        <v>-5.6636402939904934E-2</v>
      </c>
      <c r="DA120" s="20">
        <f t="shared" ca="1" si="141"/>
        <v>-2.9983978027008494E-2</v>
      </c>
      <c r="DB120" s="20">
        <f t="shared" ca="1" si="142"/>
        <v>-1.5446291710883162E-2</v>
      </c>
      <c r="DC120" s="20">
        <f t="shared" ca="1" si="143"/>
        <v>-7.8419634839868371E-3</v>
      </c>
      <c r="DD120" s="21">
        <f t="shared" ca="1" si="144"/>
        <v>7.8419634839868371E-3</v>
      </c>
      <c r="DE120" s="21">
        <f t="shared" ca="1" si="145"/>
        <v>1.5446291710883162E-2</v>
      </c>
      <c r="DF120" s="21">
        <f t="shared" ca="1" si="146"/>
        <v>2.9983978027008494E-2</v>
      </c>
      <c r="DG120" s="21">
        <f t="shared" ca="1" si="147"/>
        <v>5.6636402939904934E-2</v>
      </c>
      <c r="DH120" s="21">
        <f t="shared" ca="1" si="148"/>
        <v>0.10194552529182888</v>
      </c>
      <c r="DI120" s="21">
        <f t="shared" ca="1" si="149"/>
        <v>0.1699092088197148</v>
      </c>
      <c r="DJ120" s="21">
        <f t="shared" ca="1" si="150"/>
        <v>0.25486381322957219</v>
      </c>
      <c r="DL120" s="16" cm="1">
        <f t="array" aca="1" ref="DL120" ca="1">MAX(_xlfn._xlws.FILTER(CW120:DJ120,CW120:DJ120&lt;BU120))</f>
        <v>-7.8419634839868371E-3</v>
      </c>
      <c r="DM120" s="16" cm="1">
        <f t="array" aca="1" ref="DM120" ca="1">MIN(_xlfn._xlws.FILTER(CW120:DJ120,CW120:DJ120&gt;BU120))</f>
        <v>7.8419634839868371E-3</v>
      </c>
      <c r="DN120" s="2" cm="1">
        <f t="array" aca="1" ref="DN120" ca="1">_FV(EC120,"Fechamento anterior",TRUE)</f>
        <v>5.65</v>
      </c>
      <c r="DO120" s="28">
        <f t="shared" ca="1" si="106"/>
        <v>4.8605012497468347E-2</v>
      </c>
      <c r="DP120" s="15">
        <f t="shared" ca="1" si="151"/>
        <v>5.6056929063154746</v>
      </c>
      <c r="DQ120" s="15">
        <f t="shared" ca="1" si="152"/>
        <v>5.6943070936845261</v>
      </c>
      <c r="DR120" s="9"/>
      <c r="DS120" s="9"/>
      <c r="DT120" s="9"/>
      <c r="DU120" s="89">
        <v>3.0819380648985047E-2</v>
      </c>
      <c r="DV120" s="89">
        <f t="shared" ca="1" si="107"/>
        <v>1.5683926967973674E-2</v>
      </c>
      <c r="DW120" s="72">
        <f t="shared" ca="1" si="108"/>
        <v>-0.45949380727244554</v>
      </c>
      <c r="DX120" s="37"/>
      <c r="DY120" s="35">
        <f t="shared" si="118"/>
        <v>0.24483463807231209</v>
      </c>
      <c r="DZ120" s="56"/>
      <c r="EA120" s="56"/>
      <c r="EC120" s="2" t="e" vm="119">
        <v>#VALUE!</v>
      </c>
      <c r="EE120" s="10" cm="1">
        <f t="array" aca="1" ref="EE120" ca="1">_FV(EC120,"Ações em circulação",TRUE)</f>
        <v>820566200</v>
      </c>
      <c r="EF120" s="18">
        <f>VLOOKUP(BP120,Fundamentus!A:U,5,FALSE)</f>
        <v>0.54</v>
      </c>
      <c r="EG120" s="2">
        <f t="shared" ca="1" si="109"/>
        <v>8524771077.7777777</v>
      </c>
      <c r="EH120" s="17">
        <v>278760014.24333334</v>
      </c>
      <c r="EI120" s="17">
        <f t="shared" ca="1" si="110"/>
        <v>278760014.24333334</v>
      </c>
      <c r="EK120" s="16">
        <f t="shared" ca="1" si="97"/>
        <v>0</v>
      </c>
      <c r="EL120" s="32" t="str">
        <f>IF(VLOOKUP(BP120,Fundamentus!A:U,3,FALSE)&lt;15,"Bom",IF(VLOOKUP(BP120,Fundamentus!A:U,3,FALSE)&gt;15,"Ruim","n/a"))</f>
        <v>Ruim</v>
      </c>
      <c r="EM120" s="28" t="str">
        <f>IF(VLOOKUP(BP120,Fundamentus!A:U,4,FALSE)&lt;1,"Baixo",IF(VLOOKUP(BP120,Fundamentus!A:U,4,FALSE)&lt;1.5,"Moderado",IF(VLOOKUP(BP120,Fundamentus!A:U,4,FALSE)&gt;1.5,"Alto","n/a")))</f>
        <v>Baixo</v>
      </c>
      <c r="EN120" s="17" t="str">
        <f>IF(VLOOKUP(BP120,Fundamentus!A:U,8,FALSE)&lt;0,"Risco elevado",IF(VLOOKUP(BP120,Fundamentus!A:U,8,FALSE)&lt;1,"Saudável",IF(VLOOKUP(BP120,Fundamentus!A:U,8,FALSE)&lt;3,"Estável",IF(VLOOKUP(BP120,Fundamentus!A:U,8,FALSE)&gt;3,"Alerta","n/a"))))</f>
        <v>Alerta</v>
      </c>
      <c r="EO120" s="28" t="str">
        <f t="shared" si="111"/>
        <v>Ruim</v>
      </c>
      <c r="EP120" s="17" t="str">
        <f>IF(VLOOKUP(BP120,Fundamentus!A:U,12,FALSE)&lt;2,"Subvalorizada",IF(VLOOKUP(BP120,Fundamentus!A:U,12,FALSE)&lt;6,"Muita barata",IF(VLOOKUP(BP120,Fundamentus!A:U,12,FALSE)&lt;6,"Barata",IF(VLOOKUP(BP120,Fundamentus!A:U,12,FALSE)&lt;8,"Atrativa",IF(VLOOKUP(BP120,Fundamentus!A:U,12,FALSE)&gt;8,"Supervalorizada","n/a")))))</f>
        <v>Muita barata</v>
      </c>
      <c r="ER120" s="17" t="str">
        <f>IF(VLOOKUP(BP120,Fundamentus!A:U,17,FALSE)&lt;0.1,"Fraco retorno",IF(VLOOKUP(BP120,Fundamentus!A:U,17,FALSE)&gt;0.1,"Bom retorno","n/a"))</f>
        <v>Fraco retorno</v>
      </c>
      <c r="ES120" s="17" t="str">
        <f>IF(VLOOKUP(BP120,Fundamentus!A:U,16,FALSE)&lt;0.1,"Ineficiente",IF(VLOOKUP(BP120,Fundamentus!A:U,16,FALSE)&gt;0.1,"Eficiente","n/a"))</f>
        <v>Ineficiente</v>
      </c>
      <c r="ET120" s="33" t="str">
        <f>IF(VLOOKUP(BP120,Fundamentus!A:U,16,FALSE)&lt;0.1,"Oper. Ineficiente",IF(VLOOKUP(BP120,Fundamentus!A:U,16,FALSE)&gt;0.1,"Oper.Eficiente","n/a"))</f>
        <v>Oper. Ineficiente</v>
      </c>
      <c r="EU120" s="34">
        <f>VLOOKUP(BP120,Fundamentus!A:U,14,FALSE)</f>
        <v>3.27E-2</v>
      </c>
      <c r="EV120" s="17" t="str">
        <f>IF(VLOOKUP(BP120,Fundamentus!A:U,21,FALSE)&lt;0,"Negativo",IF(VLOOKUP(BP120,Fundamentus!A:U,21,FALSE)&lt;0.05,"Fraco",IF(VLOOKUP(BP120,Fundamentus!A:U,21,FALSE)&lt;0.1,"Bom",IF(VLOOKUP(BP120,Fundamentus!A:U,21,FALSE)&gt;0.1,"Muito bom","n/a"))))</f>
        <v>Fraco</v>
      </c>
      <c r="EX120" s="29" t="str">
        <f>IF(VLOOKUP(BP120,Fundamentus!A:U,15,FALSE)&gt;1,"Bom",IF(VLOOKUP(BP120,Fundamentus!A:U,15,FALSE)&lt;1,"Ruim","n/a"))</f>
        <v>Bom</v>
      </c>
      <c r="EY120" s="17" t="str">
        <f>IF(VLOOKUP(BP120,Fundamentus!A:U,20,FALSE)&lt;0.5,"Baixa",IF(VLOOKUP(BP120,Fundamentus!A:U,20,FALSE)&lt;1,"Moderada",IF(VLOOKUP(BP120,Fundamentus!A:U,20,FALSE)&lt;2,"Alerta",IF(VLOOKUP(BP120,Fundamentus!A:U,20,FALSE)&gt;2,"Alta","n/a"))))</f>
        <v>Moderada</v>
      </c>
      <c r="EZ120" s="10"/>
    </row>
    <row r="121" spans="1:156" s="2" customFormat="1" ht="11.25" x14ac:dyDescent="0.2">
      <c r="A121" s="4">
        <v>13.62</v>
      </c>
      <c r="B121" s="4">
        <v>12.6</v>
      </c>
      <c r="C121" s="4">
        <v>12.37</v>
      </c>
      <c r="D121" s="4">
        <v>11.68</v>
      </c>
      <c r="E121" s="4">
        <v>11.3</v>
      </c>
      <c r="F121" s="4">
        <v>11.31</v>
      </c>
      <c r="G121" s="4">
        <v>11.34</v>
      </c>
      <c r="H121" s="4">
        <v>10.62</v>
      </c>
      <c r="I121" s="4">
        <v>10.75</v>
      </c>
      <c r="J121" s="4">
        <v>12.11</v>
      </c>
      <c r="K121" s="4">
        <v>12.74</v>
      </c>
      <c r="L121" s="4">
        <v>12.39</v>
      </c>
      <c r="M121" s="4">
        <v>12.85</v>
      </c>
      <c r="N121" s="4">
        <v>13.22</v>
      </c>
      <c r="O121" s="4">
        <v>13.19</v>
      </c>
      <c r="P121" s="4">
        <v>13.34</v>
      </c>
      <c r="Q121" s="4">
        <v>14.02</v>
      </c>
      <c r="R121" s="4">
        <v>13.4</v>
      </c>
      <c r="S121" s="4">
        <v>13.19</v>
      </c>
      <c r="T121" s="4">
        <v>13.58</v>
      </c>
      <c r="U121" s="4">
        <v>13.3</v>
      </c>
      <c r="V121" s="4">
        <v>12.4</v>
      </c>
      <c r="W121" s="4">
        <v>13.34</v>
      </c>
      <c r="X121" s="4">
        <v>13.41</v>
      </c>
      <c r="Y121" s="4">
        <v>14.17</v>
      </c>
      <c r="Z121" s="4">
        <v>14.51</v>
      </c>
      <c r="AA121" s="4">
        <v>14.87</v>
      </c>
      <c r="AB121" s="4">
        <v>16.309999999999999</v>
      </c>
      <c r="AC121" s="4">
        <v>16.27</v>
      </c>
      <c r="AD121" s="4">
        <v>16.41</v>
      </c>
      <c r="AE121" s="4">
        <v>14.01</v>
      </c>
      <c r="AF121" s="4">
        <v>13.23</v>
      </c>
      <c r="AG121" s="4">
        <v>12.48</v>
      </c>
      <c r="AH121" s="4">
        <v>12.59</v>
      </c>
      <c r="AI121" s="4">
        <v>12.3</v>
      </c>
      <c r="AJ121" s="4">
        <v>12.43</v>
      </c>
      <c r="AK121" s="4">
        <v>12.06</v>
      </c>
      <c r="AL121" s="4">
        <v>11.94</v>
      </c>
      <c r="AM121" s="4">
        <v>12.48</v>
      </c>
      <c r="AN121" s="4">
        <v>14.37</v>
      </c>
      <c r="AO121" s="4">
        <v>14.66</v>
      </c>
      <c r="AP121" s="4">
        <v>16.09</v>
      </c>
      <c r="AQ121" s="4">
        <v>16.98</v>
      </c>
      <c r="AR121" s="4">
        <v>14.73</v>
      </c>
      <c r="AS121" s="4">
        <v>14.78</v>
      </c>
      <c r="AT121" s="4">
        <v>13.59</v>
      </c>
      <c r="AU121" s="4">
        <v>14.17</v>
      </c>
      <c r="AV121" s="4">
        <v>14.36</v>
      </c>
      <c r="AW121" s="4">
        <v>13.67</v>
      </c>
      <c r="AX121" s="4">
        <v>14.5</v>
      </c>
      <c r="AY121" s="12">
        <v>15.95</v>
      </c>
      <c r="AZ121" s="12">
        <v>16.2</v>
      </c>
      <c r="BA121" s="12">
        <v>16.149999999999999</v>
      </c>
      <c r="BB121" s="15">
        <v>17.16</v>
      </c>
      <c r="BC121" s="52">
        <v>20.67</v>
      </c>
      <c r="BD121" s="52">
        <v>22.58</v>
      </c>
      <c r="BE121" s="52">
        <v>23.09</v>
      </c>
      <c r="BF121" s="52">
        <v>24.62</v>
      </c>
      <c r="BG121" s="67">
        <v>23.1</v>
      </c>
      <c r="BH121" s="52">
        <v>23.68</v>
      </c>
      <c r="BI121" s="52">
        <v>24.45</v>
      </c>
      <c r="BJ121" s="52">
        <v>24.28</v>
      </c>
      <c r="BK121" s="52">
        <v>22.85</v>
      </c>
      <c r="BL121" s="52">
        <v>22.48</v>
      </c>
      <c r="BM121" s="52">
        <v>21.24</v>
      </c>
      <c r="BN121" s="52">
        <v>22.09</v>
      </c>
      <c r="BO121" s="52" cm="1">
        <f t="array" aca="1" ref="BO121" ca="1">_FV(EC121,"Preço")</f>
        <v>22.09</v>
      </c>
      <c r="BP121" s="69" t="s">
        <v>64</v>
      </c>
      <c r="BQ121" s="36" cm="1">
        <f t="array" aca="1" ref="BQ121" ca="1">_FV(EC121,"Média de volume",TRUE)</f>
        <v>1945870</v>
      </c>
      <c r="BR121" s="36">
        <v>2153400</v>
      </c>
      <c r="BS121" s="36" cm="1">
        <f t="array" aca="1" ref="BS121" ca="1">_FV(EC121,"Volume")</f>
        <v>2153400</v>
      </c>
      <c r="BT121" s="24" cm="1">
        <f t="array" aca="1" ref="BT121" ca="1">_FV(EC121,"Beta")</f>
        <v>1.4924999999999999</v>
      </c>
      <c r="BU121" s="71" cm="1">
        <f t="array" aca="1" ref="BU121" ca="1">_FV(EC121,"Variação (%)",TRUE)</f>
        <v>3.7088999999999997E-2</v>
      </c>
      <c r="BW121" s="17" cm="1">
        <f t="array" aca="1" ref="BW121" ca="1">_FV(EC121,"Baixo")</f>
        <v>21.52</v>
      </c>
      <c r="BX121" s="17" cm="1">
        <f t="array" aca="1" ref="BX121" ca="1">_FV(EC121,"Alto")</f>
        <v>22.58</v>
      </c>
      <c r="BY121" s="24"/>
      <c r="BZ121" s="63">
        <f ca="1">SQRT(22.5*(BO121/VLOOKUP(BP121,Fundamentus!A:U,3,FALSE))*(BO121/VLOOKUP(BP121,Fundamentus!A:U,4,FALSE)))</f>
        <v>17.374644265254439</v>
      </c>
      <c r="CB121" s="62">
        <f t="shared" ca="1" si="112"/>
        <v>0</v>
      </c>
      <c r="CC121" s="8"/>
      <c r="CD121" s="61">
        <f t="shared" si="113"/>
        <v>10.62</v>
      </c>
      <c r="CE121" s="61">
        <f t="shared" si="114"/>
        <v>24.62</v>
      </c>
      <c r="CF121" s="61">
        <f t="shared" si="115"/>
        <v>15.312424242424244</v>
      </c>
      <c r="CG121" s="14"/>
      <c r="CH121" s="35">
        <f t="shared" si="98"/>
        <v>19.28334468501723</v>
      </c>
      <c r="CI121" s="15">
        <f t="shared" si="116"/>
        <v>21.285000000000309</v>
      </c>
      <c r="CJ121" s="35">
        <f t="shared" si="99"/>
        <v>23.286655314983388</v>
      </c>
      <c r="CL121" s="14"/>
      <c r="CM121" s="17">
        <f t="shared" si="100"/>
        <v>-0.40000000000000391</v>
      </c>
      <c r="CN121" s="17">
        <f t="shared" si="101"/>
        <v>5.1099999999999977</v>
      </c>
      <c r="CO121" s="17">
        <f t="shared" si="102"/>
        <v>13.599999999999998</v>
      </c>
      <c r="CP121" s="38">
        <f t="shared" si="117"/>
        <v>19.11</v>
      </c>
      <c r="CQ121" s="17">
        <f t="shared" si="103"/>
        <v>27.6</v>
      </c>
      <c r="CR121" s="17">
        <f t="shared" si="104"/>
        <v>33.11</v>
      </c>
      <c r="CS121" s="17">
        <f t="shared" si="105"/>
        <v>41.6</v>
      </c>
      <c r="CT121" s="2" cm="1">
        <f t="array" aca="1" ref="CT121" ca="1">MAX(_xlfn._xlws.FILTER(CM121:CS121,CM121:CS121&lt;BO121))</f>
        <v>19.11</v>
      </c>
      <c r="CU121" s="2" cm="1">
        <f t="array" aca="1" ref="CU121" ca="1">MIN(_xlfn._xlws.FILTER($CM121:$CS121,$CM121:$CS121&gt;BO121))</f>
        <v>27.6</v>
      </c>
      <c r="CV121" s="16">
        <f t="shared" ca="1" si="136"/>
        <v>0.44427001569858726</v>
      </c>
      <c r="CW121" s="20">
        <f t="shared" ca="1" si="137"/>
        <v>-0.22213500784929363</v>
      </c>
      <c r="CX121" s="20">
        <f t="shared" ca="1" si="138"/>
        <v>-0.14809000523286242</v>
      </c>
      <c r="CY121" s="20">
        <f t="shared" ca="1" si="139"/>
        <v>-8.8854003139717447E-2</v>
      </c>
      <c r="CZ121" s="20">
        <f t="shared" ca="1" si="140"/>
        <v>-4.9363335077620807E-2</v>
      </c>
      <c r="DA121" s="20">
        <f t="shared" ca="1" si="141"/>
        <v>-2.6133530335211014E-2</v>
      </c>
      <c r="DB121" s="20">
        <f t="shared" ca="1" si="142"/>
        <v>-1.3462727748442038E-2</v>
      </c>
      <c r="DC121" s="20">
        <f t="shared" ca="1" si="143"/>
        <v>-6.8349233184398037E-3</v>
      </c>
      <c r="DD121" s="21">
        <f t="shared" ca="1" si="144"/>
        <v>6.8349233184398037E-3</v>
      </c>
      <c r="DE121" s="21">
        <f t="shared" ca="1" si="145"/>
        <v>1.3462727748442038E-2</v>
      </c>
      <c r="DF121" s="21">
        <f t="shared" ca="1" si="146"/>
        <v>2.6133530335211014E-2</v>
      </c>
      <c r="DG121" s="21">
        <f t="shared" ca="1" si="147"/>
        <v>4.9363335077620807E-2</v>
      </c>
      <c r="DH121" s="21">
        <f t="shared" ca="1" si="148"/>
        <v>8.8854003139717447E-2</v>
      </c>
      <c r="DI121" s="21">
        <f t="shared" ca="1" si="149"/>
        <v>0.14809000523286242</v>
      </c>
      <c r="DJ121" s="21">
        <f t="shared" ca="1" si="150"/>
        <v>0.22213500784929363</v>
      </c>
      <c r="DL121" s="16" cm="1">
        <f t="array" aca="1" ref="DL121" ca="1">MAX(_xlfn._xlws.FILTER(CW121:DJ121,CW121:DJ121&lt;BU121))</f>
        <v>2.6133530335211014E-2</v>
      </c>
      <c r="DM121" s="16" cm="1">
        <f t="array" aca="1" ref="DM121" ca="1">MIN(_xlfn._xlws.FILTER(CW121:DJ121,CW121:DJ121&gt;BU121))</f>
        <v>4.9363335077620807E-2</v>
      </c>
      <c r="DN121" s="2" cm="1">
        <f t="array" aca="1" ref="DN121" ca="1">_FV(EC121,"Fechamento anterior",TRUE)</f>
        <v>21.3</v>
      </c>
      <c r="DO121" s="28">
        <f t="shared" ca="1" si="106"/>
        <v>0.4716213357885809</v>
      </c>
      <c r="DP121" s="15">
        <f t="shared" ca="1" si="151"/>
        <v>21.856644196139996</v>
      </c>
      <c r="DQ121" s="15">
        <f t="shared" ca="1" si="152"/>
        <v>22.351439037153323</v>
      </c>
      <c r="DR121" s="9"/>
      <c r="DS121" s="9"/>
      <c r="DT121" s="9"/>
      <c r="DU121" s="89">
        <v>6.6838220684374543E-3</v>
      </c>
      <c r="DV121" s="89">
        <f t="shared" ca="1" si="107"/>
        <v>2.3229804742409793E-2</v>
      </c>
      <c r="DW121" s="72">
        <f t="shared" ca="1" si="108"/>
        <v>0.40216714335079995</v>
      </c>
      <c r="DX121" s="37"/>
      <c r="DY121" s="35">
        <f t="shared" si="118"/>
        <v>1.0008276574915393</v>
      </c>
      <c r="DZ121" s="56"/>
      <c r="EA121" s="56"/>
      <c r="EC121" s="2" t="e" vm="120">
        <v>#VALUE!</v>
      </c>
      <c r="EE121" s="10" cm="1">
        <f t="array" aca="1" ref="EE121" ca="1">_FV(EC121,"Ações em circulação",TRUE)</f>
        <v>122578100</v>
      </c>
      <c r="EF121" s="18">
        <f>VLOOKUP(BP121,Fundamentus!A:U,5,FALSE)</f>
        <v>0.79800000000000004</v>
      </c>
      <c r="EG121" s="2">
        <f t="shared" ca="1" si="109"/>
        <v>3393170713.0325813</v>
      </c>
      <c r="EH121" s="17">
        <v>172373072.22205514</v>
      </c>
      <c r="EI121" s="17">
        <f t="shared" ca="1" si="110"/>
        <v>172373072.22205514</v>
      </c>
      <c r="EK121" s="16">
        <f t="shared" ca="1" si="97"/>
        <v>0</v>
      </c>
      <c r="EL121" s="32" t="str">
        <f>IF(VLOOKUP(BP121,Fundamentus!A:U,3,FALSE)&lt;15,"Bom",IF(VLOOKUP(BP121,Fundamentus!A:U,3,FALSE)&gt;15,"Ruim","n/a"))</f>
        <v>Bom</v>
      </c>
      <c r="EM121" s="28" t="str">
        <f>IF(VLOOKUP(BP121,Fundamentus!A:U,4,FALSE)&lt;1,"Baixo",IF(VLOOKUP(BP121,Fundamentus!A:U,4,FALSE)&lt;1.5,"Moderado",IF(VLOOKUP(BP121,Fundamentus!A:U,4,FALSE)&gt;1.5,"Alto","n/a")))</f>
        <v>Alto</v>
      </c>
      <c r="EN121" s="17" t="str">
        <f>IF(VLOOKUP(BP121,Fundamentus!A:U,8,FALSE)&lt;0,"Risco elevado",IF(VLOOKUP(BP121,Fundamentus!A:U,8,FALSE)&lt;1,"Saudável",IF(VLOOKUP(BP121,Fundamentus!A:U,8,FALSE)&lt;3,"Estável",IF(VLOOKUP(BP121,Fundamentus!A:U,8,FALSE)&gt;3,"Alerta","n/a"))))</f>
        <v>Estável</v>
      </c>
      <c r="EO121" s="28" t="str">
        <f t="shared" si="111"/>
        <v>Ruim</v>
      </c>
      <c r="EP121" s="17" t="str">
        <f>IF(VLOOKUP(BP121,Fundamentus!A:U,12,FALSE)&lt;2,"Subvalorizada",IF(VLOOKUP(BP121,Fundamentus!A:U,12,FALSE)&lt;6,"Muita barata",IF(VLOOKUP(BP121,Fundamentus!A:U,12,FALSE)&lt;6,"Barata",IF(VLOOKUP(BP121,Fundamentus!A:U,12,FALSE)&lt;8,"Atrativa",IF(VLOOKUP(BP121,Fundamentus!A:U,12,FALSE)&gt;8,"Supervalorizada","n/a")))))</f>
        <v>Atrativa</v>
      </c>
      <c r="ER121" s="17" t="str">
        <f>IF(VLOOKUP(BP121,Fundamentus!A:U,17,FALSE)&lt;0.1,"Fraco retorno",IF(VLOOKUP(BP121,Fundamentus!A:U,17,FALSE)&gt;0.1,"Bom retorno","n/a"))</f>
        <v>Bom retorno</v>
      </c>
      <c r="ES121" s="17" t="str">
        <f>IF(VLOOKUP(BP121,Fundamentus!A:U,16,FALSE)&lt;0.1,"Ineficiente",IF(VLOOKUP(BP121,Fundamentus!A:U,16,FALSE)&gt;0.1,"Eficiente","n/a"))</f>
        <v>Eficiente</v>
      </c>
      <c r="ET121" s="33" t="str">
        <f>IF(VLOOKUP(BP121,Fundamentus!A:U,16,FALSE)&lt;0.1,"Oper. Ineficiente",IF(VLOOKUP(BP121,Fundamentus!A:U,16,FALSE)&gt;0.1,"Oper.Eficiente","n/a"))</f>
        <v>Oper.Eficiente</v>
      </c>
      <c r="EU121" s="34">
        <f>VLOOKUP(BP121,Fundamentus!A:U,14,FALSE)</f>
        <v>5.0799999999999998E-2</v>
      </c>
      <c r="EV121" s="17" t="str">
        <f>IF(VLOOKUP(BP121,Fundamentus!A:U,21,FALSE)&lt;0,"Negativo",IF(VLOOKUP(BP121,Fundamentus!A:U,21,FALSE)&lt;0.05,"Fraco",IF(VLOOKUP(BP121,Fundamentus!A:U,21,FALSE)&lt;0.1,"Bom",IF(VLOOKUP(BP121,Fundamentus!A:U,21,FALSE)&gt;0.1,"Muito bom","n/a"))))</f>
        <v>Bom</v>
      </c>
      <c r="EX121" s="29" t="str">
        <f>IF(VLOOKUP(BP121,Fundamentus!A:U,15,FALSE)&gt;1,"Bom",IF(VLOOKUP(BP121,Fundamentus!A:U,15,FALSE)&lt;1,"Ruim","n/a"))</f>
        <v>Bom</v>
      </c>
      <c r="EY121" s="17" t="str">
        <f>IF(VLOOKUP(BP121,Fundamentus!A:U,20,FALSE)&lt;0.5,"Baixa",IF(VLOOKUP(BP121,Fundamentus!A:U,20,FALSE)&lt;1,"Moderada",IF(VLOOKUP(BP121,Fundamentus!A:U,20,FALSE)&lt;2,"Alerta",IF(VLOOKUP(BP121,Fundamentus!A:U,20,FALSE)&gt;2,"Alta","n/a"))))</f>
        <v>Moderada</v>
      </c>
    </row>
    <row r="122" spans="1:156" s="2" customFormat="1" ht="11.25" x14ac:dyDescent="0.2">
      <c r="A122" s="4">
        <v>38.950000000000003</v>
      </c>
      <c r="B122" s="4">
        <v>38.11</v>
      </c>
      <c r="C122" s="4">
        <v>38.200000000000003</v>
      </c>
      <c r="D122" s="4">
        <v>36.03</v>
      </c>
      <c r="E122" s="4">
        <v>34.909999999999997</v>
      </c>
      <c r="F122" s="4">
        <v>35.729999999999997</v>
      </c>
      <c r="G122" s="4">
        <v>35.69</v>
      </c>
      <c r="H122" s="4">
        <v>34.69</v>
      </c>
      <c r="I122" s="4">
        <v>35.81</v>
      </c>
      <c r="J122" s="4">
        <v>37.94</v>
      </c>
      <c r="K122" s="4">
        <v>39.1</v>
      </c>
      <c r="L122" s="4">
        <v>37.090000000000003</v>
      </c>
      <c r="M122" s="4">
        <v>38.369999999999997</v>
      </c>
      <c r="N122" s="4">
        <v>38.35</v>
      </c>
      <c r="O122" s="4">
        <v>39.86</v>
      </c>
      <c r="P122" s="4">
        <v>40.31</v>
      </c>
      <c r="Q122" s="4">
        <v>41.88</v>
      </c>
      <c r="R122" s="4">
        <v>41.75</v>
      </c>
      <c r="S122" s="4">
        <v>41.75</v>
      </c>
      <c r="T122" s="4">
        <v>41.52</v>
      </c>
      <c r="U122" s="4">
        <v>39.93</v>
      </c>
      <c r="V122" s="4">
        <v>39.49</v>
      </c>
      <c r="W122" s="4">
        <v>38.159999999999997</v>
      </c>
      <c r="X122" s="4">
        <v>38.130000000000003</v>
      </c>
      <c r="Y122" s="4">
        <v>37.97</v>
      </c>
      <c r="Z122" s="4">
        <v>37.950000000000003</v>
      </c>
      <c r="AA122" s="4">
        <v>36.72</v>
      </c>
      <c r="AB122" s="4">
        <v>35.630000000000003</v>
      </c>
      <c r="AC122" s="4">
        <v>35.68</v>
      </c>
      <c r="AD122" s="4">
        <v>35.26</v>
      </c>
      <c r="AE122" s="4">
        <v>34.42</v>
      </c>
      <c r="AF122" s="4">
        <v>36.47</v>
      </c>
      <c r="AG122" s="4">
        <v>35.5</v>
      </c>
      <c r="AH122" s="4">
        <v>34.75</v>
      </c>
      <c r="AI122" s="4">
        <v>35</v>
      </c>
      <c r="AJ122" s="4">
        <v>33.549999999999997</v>
      </c>
      <c r="AK122" s="4">
        <v>34.15</v>
      </c>
      <c r="AL122" s="4">
        <v>34.85</v>
      </c>
      <c r="AM122" s="4">
        <v>34.97</v>
      </c>
      <c r="AN122" s="4">
        <v>36.090000000000003</v>
      </c>
      <c r="AO122" s="4">
        <v>34.75</v>
      </c>
      <c r="AP122" s="4">
        <v>37.54</v>
      </c>
      <c r="AQ122" s="4">
        <v>37.590000000000003</v>
      </c>
      <c r="AR122" s="4">
        <v>38.22</v>
      </c>
      <c r="AS122" s="4">
        <v>38.979999999999997</v>
      </c>
      <c r="AT122" s="4">
        <v>40.380000000000003</v>
      </c>
      <c r="AU122" s="4">
        <v>42.05</v>
      </c>
      <c r="AV122" s="4">
        <v>41.05</v>
      </c>
      <c r="AW122" s="4">
        <v>40.86</v>
      </c>
      <c r="AX122" s="4">
        <v>41.46</v>
      </c>
      <c r="AY122" s="12">
        <v>42.13</v>
      </c>
      <c r="AZ122" s="12">
        <v>43.43</v>
      </c>
      <c r="BA122" s="12">
        <v>43.95</v>
      </c>
      <c r="BB122" s="15">
        <v>43.42</v>
      </c>
      <c r="BC122" s="52">
        <v>41.79</v>
      </c>
      <c r="BD122" s="52">
        <v>41.7</v>
      </c>
      <c r="BE122" s="52">
        <v>41.96</v>
      </c>
      <c r="BF122" s="52">
        <v>41.31</v>
      </c>
      <c r="BG122" s="67">
        <v>41.3</v>
      </c>
      <c r="BH122" s="52">
        <v>40.049999999999997</v>
      </c>
      <c r="BI122" s="52">
        <v>39.700000000000003</v>
      </c>
      <c r="BJ122" s="52">
        <v>40.96</v>
      </c>
      <c r="BK122" s="52">
        <v>39.31</v>
      </c>
      <c r="BL122" s="52">
        <v>38.96</v>
      </c>
      <c r="BM122" s="52">
        <v>38.14</v>
      </c>
      <c r="BN122" s="52">
        <v>37.880000000000003</v>
      </c>
      <c r="BO122" s="52" cm="1">
        <f t="array" aca="1" ref="BO122" ca="1">_FV(EC122,"Preço")</f>
        <v>37.880000000000003</v>
      </c>
      <c r="BP122" s="69" t="s">
        <v>118</v>
      </c>
      <c r="BQ122" s="36" cm="1">
        <f t="array" aca="1" ref="BQ122" ca="1">_FV(EC122,"Média de volume",TRUE)</f>
        <v>1048660</v>
      </c>
      <c r="BR122" s="36">
        <v>4645900</v>
      </c>
      <c r="BS122" s="36" cm="1">
        <f t="array" aca="1" ref="BS122" ca="1">_FV(EC122,"Volume")</f>
        <v>4645900</v>
      </c>
      <c r="BT122" s="24" cm="1">
        <f t="array" aca="1" ref="BT122" ca="1">_FV(EC122,"Beta")</f>
        <v>0.80659999999999998</v>
      </c>
      <c r="BU122" s="71" cm="1">
        <f t="array" aca="1" ref="BU122" ca="1">_FV(EC122,"Variação (%)",TRUE)</f>
        <v>1.8509999999999998E-3</v>
      </c>
      <c r="BW122" s="17" cm="1">
        <f t="array" aca="1" ref="BW122" ca="1">_FV(EC122,"Baixo")</f>
        <v>37.590000000000003</v>
      </c>
      <c r="BX122" s="17" cm="1">
        <f t="array" aca="1" ref="BX122" ca="1">_FV(EC122,"Alto")</f>
        <v>38.549999999999997</v>
      </c>
      <c r="BY122" s="24"/>
      <c r="BZ122" s="63">
        <f ca="1">SQRT(22.5*(BO122/VLOOKUP(BP122,Fundamentus!A:U,3,FALSE))*(BO122/VLOOKUP(BP122,Fundamentus!A:U,4,FALSE)))</f>
        <v>68.751870610576958</v>
      </c>
      <c r="CB122" s="62">
        <f t="shared" ca="1" si="112"/>
        <v>0</v>
      </c>
      <c r="CC122" s="8"/>
      <c r="CD122" s="61">
        <f t="shared" si="113"/>
        <v>33.549999999999997</v>
      </c>
      <c r="CE122" s="61">
        <f t="shared" si="114"/>
        <v>43.95</v>
      </c>
      <c r="CF122" s="61">
        <f t="shared" si="115"/>
        <v>38.478484848484854</v>
      </c>
      <c r="CG122" s="14"/>
      <c r="CH122" s="35">
        <f t="shared" si="98"/>
        <v>35.118617680645315</v>
      </c>
      <c r="CI122" s="15">
        <f t="shared" si="116"/>
        <v>37.295000000000073</v>
      </c>
      <c r="CJ122" s="35">
        <f t="shared" si="99"/>
        <v>39.471382319354831</v>
      </c>
      <c r="CL122" s="14"/>
      <c r="CM122" s="17">
        <f t="shared" si="100"/>
        <v>22.569999999999993</v>
      </c>
      <c r="CN122" s="17">
        <f t="shared" si="101"/>
        <v>28.059999999999995</v>
      </c>
      <c r="CO122" s="17">
        <f t="shared" si="102"/>
        <v>32.97</v>
      </c>
      <c r="CP122" s="38">
        <f t="shared" si="117"/>
        <v>38.46</v>
      </c>
      <c r="CQ122" s="17">
        <f t="shared" si="103"/>
        <v>43.370000000000005</v>
      </c>
      <c r="CR122" s="17">
        <f t="shared" si="104"/>
        <v>48.860000000000007</v>
      </c>
      <c r="CS122" s="17">
        <f t="shared" si="105"/>
        <v>53.77000000000001</v>
      </c>
      <c r="CT122" s="2" cm="1">
        <f t="array" aca="1" ref="CT122" ca="1">MAX(_xlfn._xlws.FILTER(CM122:CS122,CM122:CS122&lt;BO122))</f>
        <v>32.97</v>
      </c>
      <c r="CU122" s="2" cm="1">
        <f t="array" aca="1" ref="CU122" ca="1">MIN(_xlfn._xlws.FILTER($CM122:$CS122,$CM122:$CS122&gt;BO122))</f>
        <v>38.46</v>
      </c>
      <c r="CV122" s="16">
        <f t="shared" ca="1" si="136"/>
        <v>0.16651501364877164</v>
      </c>
      <c r="CW122" s="20">
        <f t="shared" ca="1" si="137"/>
        <v>-8.3257506824385819E-2</v>
      </c>
      <c r="CX122" s="20">
        <f t="shared" ca="1" si="138"/>
        <v>-5.5505004549590543E-2</v>
      </c>
      <c r="CY122" s="20">
        <f t="shared" ca="1" si="139"/>
        <v>-3.3303002729754325E-2</v>
      </c>
      <c r="CZ122" s="20">
        <f t="shared" ca="1" si="140"/>
        <v>-1.8501668183196849E-2</v>
      </c>
      <c r="DA122" s="20">
        <f t="shared" ca="1" si="141"/>
        <v>-9.7950008028689205E-3</v>
      </c>
      <c r="DB122" s="20">
        <f t="shared" ca="1" si="142"/>
        <v>-5.0459095045082315E-3</v>
      </c>
      <c r="DC122" s="20">
        <f t="shared" ca="1" si="143"/>
        <v>-2.5617694407503327E-3</v>
      </c>
      <c r="DD122" s="21">
        <f t="shared" ca="1" si="144"/>
        <v>2.5617694407503327E-3</v>
      </c>
      <c r="DE122" s="21">
        <f t="shared" ca="1" si="145"/>
        <v>5.0459095045082315E-3</v>
      </c>
      <c r="DF122" s="21">
        <f t="shared" ca="1" si="146"/>
        <v>9.7950008028689205E-3</v>
      </c>
      <c r="DG122" s="21">
        <f t="shared" ca="1" si="147"/>
        <v>1.8501668183196849E-2</v>
      </c>
      <c r="DH122" s="21">
        <f t="shared" ca="1" si="148"/>
        <v>3.3303002729754325E-2</v>
      </c>
      <c r="DI122" s="21">
        <f t="shared" ca="1" si="149"/>
        <v>5.5505004549590543E-2</v>
      </c>
      <c r="DJ122" s="21">
        <f t="shared" ca="1" si="150"/>
        <v>8.3257506824385819E-2</v>
      </c>
      <c r="DL122" s="16" cm="1">
        <f t="array" aca="1" ref="DL122" ca="1">MAX(_xlfn._xlws.FILTER(CW122:DJ122,CW122:DJ122&lt;BU122))</f>
        <v>-2.5617694407503327E-3</v>
      </c>
      <c r="DM122" s="16" cm="1">
        <f t="array" aca="1" ref="DM122" ca="1">MIN(_xlfn._xlws.FILTER(CW122:DJ122,CW122:DJ122&gt;BU122))</f>
        <v>2.5617694407503327E-3</v>
      </c>
      <c r="DN122" s="2" cm="1">
        <f t="array" aca="1" ref="DN122" ca="1">_FV(EC122,"Fechamento anterior",TRUE)</f>
        <v>37.81</v>
      </c>
      <c r="DO122" s="28">
        <f t="shared" ca="1" si="106"/>
        <v>0.86134439814835484</v>
      </c>
      <c r="DP122" s="15">
        <f t="shared" ca="1" si="151"/>
        <v>37.713139497445233</v>
      </c>
      <c r="DQ122" s="15">
        <f t="shared" ca="1" si="152"/>
        <v>37.906860502554771</v>
      </c>
      <c r="DR122" s="9"/>
      <c r="DS122" s="9"/>
      <c r="DT122" s="9"/>
      <c r="DU122" s="89">
        <v>4.3428364626835157E-3</v>
      </c>
      <c r="DV122" s="89">
        <f t="shared" ca="1" si="107"/>
        <v>5.1235388815006654E-3</v>
      </c>
      <c r="DW122" s="72">
        <f t="shared" ca="1" si="108"/>
        <v>0.26879468501350784</v>
      </c>
      <c r="DX122" s="37"/>
      <c r="DY122" s="35">
        <f t="shared" si="118"/>
        <v>1.0881911596773792</v>
      </c>
      <c r="DZ122" s="56"/>
      <c r="EA122" s="56"/>
      <c r="EC122" s="2" t="e" vm="121">
        <v>#VALUE!</v>
      </c>
      <c r="EE122" s="10" cm="1">
        <f t="array" aca="1" ref="EE122" ca="1">_FV(EC122,"Ações em circulação",TRUE)</f>
        <v>2307100000</v>
      </c>
      <c r="EF122" s="18">
        <f>VLOOKUP(BP122,Fundamentus!A:U,5,FALSE)</f>
        <v>2.1379999999999999</v>
      </c>
      <c r="EG122" s="2">
        <f t="shared" ca="1" si="109"/>
        <v>40876028063.610855</v>
      </c>
      <c r="EH122" s="17">
        <v>9462800496.725914</v>
      </c>
      <c r="EI122" s="17">
        <f t="shared" ca="1" si="110"/>
        <v>9462800496.725914</v>
      </c>
      <c r="EK122" s="16">
        <f t="shared" ca="1" si="97"/>
        <v>0</v>
      </c>
      <c r="EL122" s="32" t="str">
        <f>IF(VLOOKUP(BP122,Fundamentus!A:U,3,FALSE)&lt;15,"Bom",IF(VLOOKUP(BP122,Fundamentus!A:U,3,FALSE)&gt;15,"Ruim","n/a"))</f>
        <v>Bom</v>
      </c>
      <c r="EM122" s="28" t="str">
        <f>IF(VLOOKUP(BP122,Fundamentus!A:U,4,FALSE)&lt;1,"Baixo",IF(VLOOKUP(BP122,Fundamentus!A:U,4,FALSE)&lt;1.5,"Moderado",IF(VLOOKUP(BP122,Fundamentus!A:U,4,FALSE)&gt;1.5,"Alto","n/a")))</f>
        <v>Baixo</v>
      </c>
      <c r="EN122" s="17" t="str">
        <f>IF(VLOOKUP(BP122,Fundamentus!A:U,8,FALSE)&lt;0,"Risco elevado",IF(VLOOKUP(BP122,Fundamentus!A:U,8,FALSE)&lt;1,"Saudável",IF(VLOOKUP(BP122,Fundamentus!A:U,8,FALSE)&lt;3,"Estável",IF(VLOOKUP(BP122,Fundamentus!A:U,8,FALSE)&gt;3,"Alerta","n/a"))))</f>
        <v>Estável</v>
      </c>
      <c r="EO122" s="28" t="str">
        <f t="shared" si="111"/>
        <v>Bom</v>
      </c>
      <c r="EP122" s="17" t="str">
        <f>IF(VLOOKUP(BP122,Fundamentus!A:U,12,FALSE)&lt;2,"Subvalorizada",IF(VLOOKUP(BP122,Fundamentus!A:U,12,FALSE)&lt;6,"Muita barata",IF(VLOOKUP(BP122,Fundamentus!A:U,12,FALSE)&lt;6,"Barata",IF(VLOOKUP(BP122,Fundamentus!A:U,12,FALSE)&lt;8,"Atrativa",IF(VLOOKUP(BP122,Fundamentus!A:U,12,FALSE)&gt;8,"Supervalorizada","n/a")))))</f>
        <v>Atrativa</v>
      </c>
      <c r="ER122" s="17" t="str">
        <f>IF(VLOOKUP(BP122,Fundamentus!A:U,17,FALSE)&lt;0.1,"Fraco retorno",IF(VLOOKUP(BP122,Fundamentus!A:U,17,FALSE)&gt;0.1,"Bom retorno","n/a"))</f>
        <v>Fraco retorno</v>
      </c>
      <c r="ES122" s="17" t="str">
        <f>IF(VLOOKUP(BP122,Fundamentus!A:U,16,FALSE)&lt;0.1,"Ineficiente",IF(VLOOKUP(BP122,Fundamentus!A:U,16,FALSE)&gt;0.1,"Eficiente","n/a"))</f>
        <v>Ineficiente</v>
      </c>
      <c r="ET122" s="33" t="str">
        <f>IF(VLOOKUP(BP122,Fundamentus!A:U,16,FALSE)&lt;0.1,"Oper. Ineficiente",IF(VLOOKUP(BP122,Fundamentus!A:U,16,FALSE)&gt;0.1,"Oper.Eficiente","n/a"))</f>
        <v>Oper. Ineficiente</v>
      </c>
      <c r="EU122" s="34">
        <f>VLOOKUP(BP122,Fundamentus!A:U,14,FALSE)</f>
        <v>0.23150000000000001</v>
      </c>
      <c r="EV122" s="17" t="str">
        <f>IF(VLOOKUP(BP122,Fundamentus!A:U,21,FALSE)&lt;0,"Negativo",IF(VLOOKUP(BP122,Fundamentus!A:U,21,FALSE)&lt;0.05,"Fraco",IF(VLOOKUP(BP122,Fundamentus!A:U,21,FALSE)&lt;0.1,"Bom",IF(VLOOKUP(BP122,Fundamentus!A:U,21,FALSE)&gt;0.1,"Muito bom","n/a"))))</f>
        <v>Bom</v>
      </c>
      <c r="EX122" s="29" t="str">
        <f>IF(VLOOKUP(BP122,Fundamentus!A:U,15,FALSE)&gt;1,"Bom",IF(VLOOKUP(BP122,Fundamentus!A:U,15,FALSE)&lt;1,"Ruim","n/a"))</f>
        <v>Bom</v>
      </c>
      <c r="EY122" s="17" t="str">
        <f>IF(VLOOKUP(BP122,Fundamentus!A:U,20,FALSE)&lt;0.5,"Baixa",IF(VLOOKUP(BP122,Fundamentus!A:U,20,FALSE)&lt;1,"Moderada",IF(VLOOKUP(BP122,Fundamentus!A:U,20,FALSE)&lt;2,"Alerta",IF(VLOOKUP(BP122,Fundamentus!A:U,20,FALSE)&gt;2,"Alta","n/a"))))</f>
        <v>Moderada</v>
      </c>
      <c r="EZ122" s="10"/>
    </row>
    <row r="123" spans="1:156" s="2" customFormat="1" ht="11.25" x14ac:dyDescent="0.2">
      <c r="A123" s="4">
        <v>7.24</v>
      </c>
      <c r="B123" s="4">
        <v>7.26</v>
      </c>
      <c r="C123" s="4">
        <v>6.47</v>
      </c>
      <c r="D123" s="4">
        <v>6.13</v>
      </c>
      <c r="E123" s="4">
        <v>5.97</v>
      </c>
      <c r="F123" s="4">
        <v>5.96</v>
      </c>
      <c r="G123" s="4">
        <v>5.76</v>
      </c>
      <c r="H123" s="4">
        <v>5.74</v>
      </c>
      <c r="I123" s="4">
        <v>5.72</v>
      </c>
      <c r="J123" s="4">
        <v>6</v>
      </c>
      <c r="K123" s="4">
        <v>5.99</v>
      </c>
      <c r="L123" s="4">
        <v>5.83</v>
      </c>
      <c r="M123" s="4">
        <v>5.88</v>
      </c>
      <c r="N123" s="4">
        <v>5.97</v>
      </c>
      <c r="O123" s="4">
        <v>5.99</v>
      </c>
      <c r="P123" s="4">
        <v>6.06</v>
      </c>
      <c r="Q123" s="4">
        <v>6.27</v>
      </c>
      <c r="R123" s="4">
        <v>6.17</v>
      </c>
      <c r="S123" s="4">
        <v>6.02</v>
      </c>
      <c r="T123" s="4">
        <v>6.1</v>
      </c>
      <c r="U123" s="4">
        <v>5.7</v>
      </c>
      <c r="V123" s="4">
        <v>5.81</v>
      </c>
      <c r="W123" s="4">
        <v>5.63</v>
      </c>
      <c r="X123" s="4">
        <v>6</v>
      </c>
      <c r="Y123" s="4">
        <v>5.83</v>
      </c>
      <c r="Z123" s="4">
        <v>5.81</v>
      </c>
      <c r="AA123" s="4">
        <v>5.7</v>
      </c>
      <c r="AB123" s="4">
        <v>5.84</v>
      </c>
      <c r="AC123" s="4">
        <v>5.79</v>
      </c>
      <c r="AD123" s="4">
        <v>6.07</v>
      </c>
      <c r="AE123" s="4">
        <v>5.82</v>
      </c>
      <c r="AF123" s="4">
        <v>6.08</v>
      </c>
      <c r="AG123" s="4">
        <v>5.82</v>
      </c>
      <c r="AH123" s="4">
        <v>5.59</v>
      </c>
      <c r="AI123" s="4">
        <v>5.57</v>
      </c>
      <c r="AJ123" s="4">
        <v>5.17</v>
      </c>
      <c r="AK123" s="4">
        <v>5.26</v>
      </c>
      <c r="AL123" s="4">
        <v>5.53</v>
      </c>
      <c r="AM123" s="4">
        <v>5.77</v>
      </c>
      <c r="AN123" s="4">
        <v>5.97</v>
      </c>
      <c r="AO123" s="4">
        <v>5.87</v>
      </c>
      <c r="AP123" s="4">
        <v>5.97</v>
      </c>
      <c r="AQ123" s="4">
        <v>5.91</v>
      </c>
      <c r="AR123" s="4">
        <v>6.03</v>
      </c>
      <c r="AS123" s="4">
        <v>6.11</v>
      </c>
      <c r="AT123" s="4">
        <v>6.19</v>
      </c>
      <c r="AU123" s="4">
        <v>6.0949999999999998</v>
      </c>
      <c r="AV123" s="4">
        <v>5.98</v>
      </c>
      <c r="AW123" s="4">
        <v>5.9</v>
      </c>
      <c r="AX123" s="4">
        <v>5.92</v>
      </c>
      <c r="AY123" s="12">
        <v>5.98</v>
      </c>
      <c r="AZ123" s="12">
        <v>6.07</v>
      </c>
      <c r="BA123" s="12">
        <v>5.97</v>
      </c>
      <c r="BB123" s="15">
        <v>6</v>
      </c>
      <c r="BC123" s="52">
        <v>6.93</v>
      </c>
      <c r="BD123" s="52">
        <v>7.06</v>
      </c>
      <c r="BE123" s="52">
        <v>7.19</v>
      </c>
      <c r="BF123" s="52">
        <v>7.39</v>
      </c>
      <c r="BG123" s="67">
        <v>7.65</v>
      </c>
      <c r="BH123" s="52">
        <v>7.89</v>
      </c>
      <c r="BI123" s="52">
        <v>7.72</v>
      </c>
      <c r="BJ123" s="52">
        <v>7.78</v>
      </c>
      <c r="BK123" s="52">
        <v>7.71</v>
      </c>
      <c r="BL123" s="52">
        <v>7.37</v>
      </c>
      <c r="BM123" s="52">
        <v>7.27</v>
      </c>
      <c r="BN123" s="52">
        <v>7.44</v>
      </c>
      <c r="BO123" s="52" cm="1">
        <f t="array" aca="1" ref="BO123" ca="1">_FV(EC123,"Preço")</f>
        <v>7.44</v>
      </c>
      <c r="BP123" s="69" t="s">
        <v>119</v>
      </c>
      <c r="BQ123" s="36" cm="1">
        <f t="array" aca="1" ref="BQ123" ca="1">_FV(EC123,"Média de volume",TRUE)</f>
        <v>319350</v>
      </c>
      <c r="BR123" s="36">
        <v>333500</v>
      </c>
      <c r="BS123" s="36" cm="1">
        <f t="array" aca="1" ref="BS123" ca="1">_FV(EC123,"Volume")</f>
        <v>333500</v>
      </c>
      <c r="BT123" s="24" cm="1">
        <f t="array" aca="1" ref="BT123" ca="1">_FV(EC123,"Beta")</f>
        <v>1.1301000000000001</v>
      </c>
      <c r="BU123" s="71" cm="1">
        <f t="array" aca="1" ref="BU123" ca="1">_FV(EC123,"Variação (%)",TRUE)</f>
        <v>-1.0638000000000002E-2</v>
      </c>
      <c r="BW123" s="17" cm="1">
        <f t="array" aca="1" ref="BW123" ca="1">_FV(EC123,"Baixo")</f>
        <v>7.38</v>
      </c>
      <c r="BX123" s="17" cm="1">
        <f t="array" aca="1" ref="BX123" ca="1">_FV(EC123,"Alto")</f>
        <v>7.6</v>
      </c>
      <c r="BY123" s="24"/>
      <c r="BZ123" s="63">
        <f ca="1">SQRT(22.5*(BO123/VLOOKUP(BP123,Fundamentus!A:U,3,FALSE))*(BO123/VLOOKUP(BP123,Fundamentus!A:U,4,FALSE)))</f>
        <v>9.7236303946085005</v>
      </c>
      <c r="CB123" s="62">
        <f t="shared" ca="1" si="112"/>
        <v>0</v>
      </c>
      <c r="CC123" s="8"/>
      <c r="CD123" s="61">
        <f t="shared" si="113"/>
        <v>5.17</v>
      </c>
      <c r="CE123" s="61">
        <f t="shared" si="114"/>
        <v>7.89</v>
      </c>
      <c r="CF123" s="61">
        <f t="shared" si="115"/>
        <v>6.2224999999999993</v>
      </c>
      <c r="CG123" s="14"/>
      <c r="CH123" s="35">
        <f t="shared" si="98"/>
        <v>6.8251126742981247</v>
      </c>
      <c r="CI123" s="15">
        <f t="shared" si="116"/>
        <v>7.2200000000000273</v>
      </c>
      <c r="CJ123" s="35">
        <f t="shared" si="99"/>
        <v>7.6148873257019298</v>
      </c>
      <c r="CL123" s="14"/>
      <c r="CM123" s="17">
        <f t="shared" si="100"/>
        <v>3.0566666666666666</v>
      </c>
      <c r="CN123" s="17">
        <f t="shared" si="101"/>
        <v>4.1133333333333333</v>
      </c>
      <c r="CO123" s="17">
        <f t="shared" si="102"/>
        <v>5.7766666666666664</v>
      </c>
      <c r="CP123" s="38">
        <f t="shared" si="117"/>
        <v>6.833333333333333</v>
      </c>
      <c r="CQ123" s="17">
        <f t="shared" si="103"/>
        <v>8.4966666666666661</v>
      </c>
      <c r="CR123" s="17">
        <f t="shared" si="104"/>
        <v>9.5533333333333328</v>
      </c>
      <c r="CS123" s="17">
        <f t="shared" si="105"/>
        <v>11.216666666666665</v>
      </c>
      <c r="CT123" s="2" cm="1">
        <f t="array" aca="1" ref="CT123" ca="1">MAX(_xlfn._xlws.FILTER(CM123:CS123,CM123:CS123&lt;BO123))</f>
        <v>6.833333333333333</v>
      </c>
      <c r="CU123" s="2" cm="1">
        <f t="array" aca="1" ref="CU123" ca="1">MIN(_xlfn._xlws.FILTER($CM123:$CS123,$CM123:$CS123&gt;BO123))</f>
        <v>8.4966666666666661</v>
      </c>
      <c r="CV123" s="16">
        <f t="shared" ca="1" si="136"/>
        <v>0.24341463414634146</v>
      </c>
      <c r="CW123" s="20">
        <f t="shared" ca="1" si="137"/>
        <v>-0.12170731707317073</v>
      </c>
      <c r="CX123" s="20">
        <f t="shared" ca="1" si="138"/>
        <v>-8.1138211382113815E-2</v>
      </c>
      <c r="CY123" s="20">
        <f t="shared" ca="1" si="139"/>
        <v>-4.8682926829268294E-2</v>
      </c>
      <c r="CZ123" s="20">
        <f t="shared" ca="1" si="140"/>
        <v>-2.7046070460704605E-2</v>
      </c>
      <c r="DA123" s="20">
        <f t="shared" ca="1" si="141"/>
        <v>-1.4318507890961263E-2</v>
      </c>
      <c r="DB123" s="20">
        <f t="shared" ca="1" si="142"/>
        <v>-7.3762010347376197E-3</v>
      </c>
      <c r="DC123" s="20">
        <f t="shared" ca="1" si="143"/>
        <v>-3.74484052532833E-3</v>
      </c>
      <c r="DD123" s="21">
        <f t="shared" ca="1" si="144"/>
        <v>3.74484052532833E-3</v>
      </c>
      <c r="DE123" s="21">
        <f t="shared" ca="1" si="145"/>
        <v>7.3762010347376197E-3</v>
      </c>
      <c r="DF123" s="21">
        <f t="shared" ca="1" si="146"/>
        <v>1.4318507890961263E-2</v>
      </c>
      <c r="DG123" s="21">
        <f t="shared" ca="1" si="147"/>
        <v>2.7046070460704605E-2</v>
      </c>
      <c r="DH123" s="21">
        <f t="shared" ca="1" si="148"/>
        <v>4.8682926829268294E-2</v>
      </c>
      <c r="DI123" s="21">
        <f t="shared" ca="1" si="149"/>
        <v>8.1138211382113815E-2</v>
      </c>
      <c r="DJ123" s="21">
        <f t="shared" ca="1" si="150"/>
        <v>0.12170731707317073</v>
      </c>
      <c r="DL123" s="16" cm="1">
        <f t="array" aca="1" ref="DL123" ca="1">MAX(_xlfn._xlws.FILTER(CW123:DJ123,CW123:DJ123&lt;BU123))</f>
        <v>-1.4318507890961263E-2</v>
      </c>
      <c r="DM123" s="16" cm="1">
        <f t="array" aca="1" ref="DM123" ca="1">MIN(_xlfn._xlws.FILTER(CW123:DJ123,CW123:DJ123&gt;BU123))</f>
        <v>-7.3762010347376197E-3</v>
      </c>
      <c r="DN123" s="2" cm="1">
        <f t="array" aca="1" ref="DN123" ca="1">_FV(EC123,"Fechamento anterior",TRUE)</f>
        <v>7.52</v>
      </c>
      <c r="DO123" s="28">
        <f t="shared" ca="1" si="106"/>
        <v>0.53011341832602898</v>
      </c>
      <c r="DP123" s="15">
        <f t="shared" ca="1" si="151"/>
        <v>7.412324820659971</v>
      </c>
      <c r="DQ123" s="15">
        <f t="shared" ca="1" si="152"/>
        <v>7.4645309682187726</v>
      </c>
      <c r="DR123" s="9"/>
      <c r="DS123" s="9"/>
      <c r="DT123" s="9"/>
      <c r="DU123" s="89">
        <v>6.8683727662737729E-3</v>
      </c>
      <c r="DV123" s="89">
        <f t="shared" ca="1" si="107"/>
        <v>6.9423068562236429E-3</v>
      </c>
      <c r="DW123" s="72">
        <f t="shared" ca="1" si="108"/>
        <v>0.55712094483895758</v>
      </c>
      <c r="DX123" s="37"/>
      <c r="DY123" s="35">
        <f t="shared" si="118"/>
        <v>0.19744366285095111</v>
      </c>
      <c r="DZ123" s="56"/>
      <c r="EA123" s="56"/>
      <c r="EC123" s="2" t="e" vm="122">
        <v>#VALUE!</v>
      </c>
      <c r="EE123" s="10" cm="1">
        <f t="array" aca="1" ref="EE123" ca="1">_FV(EC123,"Ações em circulação",TRUE)</f>
        <v>159907300</v>
      </c>
      <c r="EF123" s="18">
        <f>VLOOKUP(BP123,Fundamentus!A:U,5,FALSE)</f>
        <v>0.88100000000000001</v>
      </c>
      <c r="EG123" s="2">
        <f t="shared" ca="1" si="109"/>
        <v>1350408980.7037458</v>
      </c>
      <c r="EH123" s="17">
        <v>324368237.16503972</v>
      </c>
      <c r="EI123" s="17">
        <f t="shared" ca="1" si="110"/>
        <v>324368237.16503972</v>
      </c>
      <c r="EK123" s="16">
        <f t="shared" ca="1" si="97"/>
        <v>0</v>
      </c>
      <c r="EL123" s="32" t="str">
        <f>IF(VLOOKUP(BP123,Fundamentus!A:U,3,FALSE)&lt;15,"Bom",IF(VLOOKUP(BP123,Fundamentus!A:U,3,FALSE)&gt;15,"Ruim","n/a"))</f>
        <v>Bom</v>
      </c>
      <c r="EM123" s="28" t="str">
        <f>IF(VLOOKUP(BP123,Fundamentus!A:U,4,FALSE)&lt;1,"Baixo",IF(VLOOKUP(BP123,Fundamentus!A:U,4,FALSE)&lt;1.5,"Moderado",IF(VLOOKUP(BP123,Fundamentus!A:U,4,FALSE)&gt;1.5,"Alto","n/a")))</f>
        <v>Alto</v>
      </c>
      <c r="EN123" s="17" t="str">
        <f>IF(VLOOKUP(BP123,Fundamentus!A:U,8,FALSE)&lt;0,"Risco elevado",IF(VLOOKUP(BP123,Fundamentus!A:U,8,FALSE)&lt;1,"Saudável",IF(VLOOKUP(BP123,Fundamentus!A:U,8,FALSE)&lt;3,"Estável",IF(VLOOKUP(BP123,Fundamentus!A:U,8,FALSE)&gt;3,"Alerta","n/a"))))</f>
        <v>Alerta</v>
      </c>
      <c r="EO123" s="28" t="str">
        <f t="shared" si="111"/>
        <v>Ruim</v>
      </c>
      <c r="EP123" s="17" t="str">
        <f>IF(VLOOKUP(BP123,Fundamentus!A:U,12,FALSE)&lt;2,"Subvalorizada",IF(VLOOKUP(BP123,Fundamentus!A:U,12,FALSE)&lt;6,"Muita barata",IF(VLOOKUP(BP123,Fundamentus!A:U,12,FALSE)&lt;6,"Barata",IF(VLOOKUP(BP123,Fundamentus!A:U,12,FALSE)&lt;8,"Atrativa",IF(VLOOKUP(BP123,Fundamentus!A:U,12,FALSE)&gt;8,"Supervalorizada","n/a")))))</f>
        <v>Subvalorizada</v>
      </c>
      <c r="ER123" s="17" t="str">
        <f>IF(VLOOKUP(BP123,Fundamentus!A:U,17,FALSE)&lt;0.1,"Fraco retorno",IF(VLOOKUP(BP123,Fundamentus!A:U,17,FALSE)&gt;0.1,"Bom retorno","n/a"))</f>
        <v>Bom retorno</v>
      </c>
      <c r="ES123" s="17" t="str">
        <f>IF(VLOOKUP(BP123,Fundamentus!A:U,16,FALSE)&lt;0.1,"Ineficiente",IF(VLOOKUP(BP123,Fundamentus!A:U,16,FALSE)&gt;0.1,"Eficiente","n/a"))</f>
        <v>Eficiente</v>
      </c>
      <c r="ET123" s="33" t="str">
        <f>IF(VLOOKUP(BP123,Fundamentus!A:U,16,FALSE)&lt;0.1,"Oper. Ineficiente",IF(VLOOKUP(BP123,Fundamentus!A:U,16,FALSE)&gt;0.1,"Oper.Eficiente","n/a"))</f>
        <v>Oper.Eficiente</v>
      </c>
      <c r="EU123" s="34">
        <f>VLOOKUP(BP123,Fundamentus!A:U,14,FALSE)</f>
        <v>0.2402</v>
      </c>
      <c r="EV123" s="17" t="str">
        <f>IF(VLOOKUP(BP123,Fundamentus!A:U,21,FALSE)&lt;0,"Negativo",IF(VLOOKUP(BP123,Fundamentus!A:U,21,FALSE)&lt;0.05,"Fraco",IF(VLOOKUP(BP123,Fundamentus!A:U,21,FALSE)&lt;0.1,"Bom",IF(VLOOKUP(BP123,Fundamentus!A:U,21,FALSE)&gt;0.1,"Muito bom","n/a"))))</f>
        <v>Muito bom</v>
      </c>
      <c r="EX123" s="29" t="str">
        <f>IF(VLOOKUP(BP123,Fundamentus!A:U,15,FALSE)&gt;1,"Bom",IF(VLOOKUP(BP123,Fundamentus!A:U,15,FALSE)&lt;1,"Ruim","n/a"))</f>
        <v>Bom</v>
      </c>
      <c r="EY123" s="17" t="str">
        <f>IF(VLOOKUP(BP123,Fundamentus!A:U,20,FALSE)&lt;0.5,"Baixa",IF(VLOOKUP(BP123,Fundamentus!A:U,20,FALSE)&lt;1,"Moderada",IF(VLOOKUP(BP123,Fundamentus!A:U,20,FALSE)&lt;2,"Alerta",IF(VLOOKUP(BP123,Fundamentus!A:U,20,FALSE)&gt;2,"Alta","n/a"))))</f>
        <v>Moderada</v>
      </c>
      <c r="EZ123" s="10">
        <v>3</v>
      </c>
    </row>
    <row r="124" spans="1:156" s="2" customFormat="1" ht="11.25" x14ac:dyDescent="0.2">
      <c r="A124" s="4">
        <v>5.63</v>
      </c>
      <c r="B124" s="4">
        <v>5.52</v>
      </c>
      <c r="C124" s="4">
        <v>5.81</v>
      </c>
      <c r="D124" s="4">
        <v>5.69</v>
      </c>
      <c r="E124" s="4">
        <v>5.56</v>
      </c>
      <c r="F124" s="4">
        <v>5.48</v>
      </c>
      <c r="G124" s="4">
        <v>5.31</v>
      </c>
      <c r="H124" s="4">
        <v>5.5</v>
      </c>
      <c r="I124" s="4">
        <v>5.59</v>
      </c>
      <c r="J124" s="4">
        <v>5.53</v>
      </c>
      <c r="K124" s="4">
        <v>5.46</v>
      </c>
      <c r="L124" s="4">
        <v>5.33</v>
      </c>
      <c r="M124" s="4">
        <v>5.41</v>
      </c>
      <c r="N124" s="4">
        <v>5.78</v>
      </c>
      <c r="O124" s="4">
        <v>5.8</v>
      </c>
      <c r="P124" s="4">
        <v>5.76</v>
      </c>
      <c r="Q124" s="4">
        <v>5.85</v>
      </c>
      <c r="R124" s="4">
        <v>5.85</v>
      </c>
      <c r="S124" s="4">
        <v>6.05</v>
      </c>
      <c r="T124" s="4">
        <v>6.52</v>
      </c>
      <c r="U124" s="4">
        <v>6.4</v>
      </c>
      <c r="V124" s="4">
        <v>5.94</v>
      </c>
      <c r="W124" s="4">
        <v>5.68</v>
      </c>
      <c r="X124" s="4">
        <v>5.55</v>
      </c>
      <c r="Y124" s="4">
        <v>5.57</v>
      </c>
      <c r="Z124" s="4">
        <v>5.52</v>
      </c>
      <c r="AA124" s="4">
        <v>5.31</v>
      </c>
      <c r="AB124" s="4">
        <v>5.29</v>
      </c>
      <c r="AC124" s="4">
        <v>5.23</v>
      </c>
      <c r="AD124" s="4">
        <v>5.26</v>
      </c>
      <c r="AE124" s="4">
        <v>6</v>
      </c>
      <c r="AF124" s="4">
        <v>6.18</v>
      </c>
      <c r="AG124" s="4">
        <v>5.63</v>
      </c>
      <c r="AH124" s="4">
        <v>5.46</v>
      </c>
      <c r="AI124" s="4">
        <v>5.55</v>
      </c>
      <c r="AJ124" s="4">
        <v>5.03</v>
      </c>
      <c r="AK124" s="4">
        <v>5.12</v>
      </c>
      <c r="AL124" s="4">
        <v>5.18</v>
      </c>
      <c r="AM124" s="4">
        <v>5.13</v>
      </c>
      <c r="AN124" s="4">
        <v>5.14</v>
      </c>
      <c r="AO124" s="4">
        <v>5.38</v>
      </c>
      <c r="AP124" s="4">
        <v>5.41</v>
      </c>
      <c r="AQ124" s="4">
        <v>5.45</v>
      </c>
      <c r="AR124" s="4">
        <v>5.36</v>
      </c>
      <c r="AS124" s="4">
        <v>5.56</v>
      </c>
      <c r="AT124" s="4">
        <v>5.47</v>
      </c>
      <c r="AU124" s="4">
        <v>5.72</v>
      </c>
      <c r="AV124" s="4">
        <v>5.48</v>
      </c>
      <c r="AW124" s="4">
        <v>5.67</v>
      </c>
      <c r="AX124" s="4">
        <v>5.53</v>
      </c>
      <c r="AY124" s="12">
        <v>5.69</v>
      </c>
      <c r="AZ124" s="12">
        <v>5.92</v>
      </c>
      <c r="BA124" s="12">
        <v>6.08</v>
      </c>
      <c r="BB124" s="15">
        <v>6.12</v>
      </c>
      <c r="BC124" s="52">
        <v>6.15</v>
      </c>
      <c r="BD124" s="52">
        <v>6.4</v>
      </c>
      <c r="BE124" s="52">
        <v>6.51</v>
      </c>
      <c r="BF124" s="52">
        <v>6.57</v>
      </c>
      <c r="BG124" s="67">
        <v>7.06</v>
      </c>
      <c r="BH124" s="52">
        <v>7.29</v>
      </c>
      <c r="BI124" s="52">
        <v>7.5</v>
      </c>
      <c r="BJ124" s="52">
        <v>7.41</v>
      </c>
      <c r="BK124" s="52">
        <v>7.23</v>
      </c>
      <c r="BL124" s="52">
        <v>6.98</v>
      </c>
      <c r="BM124" s="52">
        <v>6.69</v>
      </c>
      <c r="BN124" s="52">
        <v>6.58</v>
      </c>
      <c r="BO124" s="52" cm="1">
        <f t="array" aca="1" ref="BO124" ca="1">_FV(EC124,"Preço")</f>
        <v>6.58</v>
      </c>
      <c r="BP124" s="69" t="s">
        <v>86</v>
      </c>
      <c r="BQ124" s="36" cm="1">
        <f t="array" aca="1" ref="BQ124" ca="1">_FV(EC124,"Média de volume",TRUE)</f>
        <v>1032460</v>
      </c>
      <c r="BR124" s="36">
        <v>1234500</v>
      </c>
      <c r="BS124" s="36" cm="1">
        <f t="array" aca="1" ref="BS124" ca="1">_FV(EC124,"Volume")</f>
        <v>1234500</v>
      </c>
      <c r="BT124" s="24" cm="1">
        <f t="array" aca="1" ref="BT124" ca="1">_FV(EC124,"Beta")</f>
        <v>0.61319999999999997</v>
      </c>
      <c r="BU124" s="71" cm="1">
        <f t="array" aca="1" ref="BU124" ca="1">_FV(EC124,"Variação (%)",TRUE)</f>
        <v>-4.5390000000000005E-3</v>
      </c>
      <c r="BW124" s="17" cm="1">
        <f t="array" aca="1" ref="BW124" ca="1">_FV(EC124,"Baixo")</f>
        <v>6.57</v>
      </c>
      <c r="BX124" s="17" cm="1">
        <f t="array" aca="1" ref="BX124" ca="1">_FV(EC124,"Alto")</f>
        <v>6.69</v>
      </c>
      <c r="BY124" s="24"/>
      <c r="BZ124" s="63">
        <f ca="1">SQRT(22.5*(BO124/VLOOKUP(BP124,Fundamentus!A:U,3,FALSE))*(BO124/VLOOKUP(BP124,Fundamentus!A:U,4,FALSE)))</f>
        <v>16.250353959070136</v>
      </c>
      <c r="CB124" s="62">
        <f t="shared" ca="1" si="112"/>
        <v>0</v>
      </c>
      <c r="CC124" s="8"/>
      <c r="CD124" s="61">
        <f t="shared" si="113"/>
        <v>5.03</v>
      </c>
      <c r="CE124" s="61">
        <f t="shared" si="114"/>
        <v>7.5</v>
      </c>
      <c r="CF124" s="61">
        <f t="shared" si="115"/>
        <v>5.830454545454546</v>
      </c>
      <c r="CG124" s="14"/>
      <c r="CH124" s="35">
        <f t="shared" si="98"/>
        <v>5.6829561418845138</v>
      </c>
      <c r="CI124" s="15">
        <f t="shared" si="116"/>
        <v>6.3099999999997181</v>
      </c>
      <c r="CJ124" s="35">
        <f t="shared" si="99"/>
        <v>6.9370438581149223</v>
      </c>
      <c r="CL124" s="14"/>
      <c r="CM124" s="17">
        <f t="shared" si="100"/>
        <v>2.7700000000000005</v>
      </c>
      <c r="CN124" s="17">
        <f t="shared" si="101"/>
        <v>3.9000000000000004</v>
      </c>
      <c r="CO124" s="17">
        <f t="shared" si="102"/>
        <v>5.24</v>
      </c>
      <c r="CP124" s="38">
        <f t="shared" si="117"/>
        <v>6.37</v>
      </c>
      <c r="CQ124" s="17">
        <f t="shared" si="103"/>
        <v>7.71</v>
      </c>
      <c r="CR124" s="17">
        <f t="shared" si="104"/>
        <v>8.84</v>
      </c>
      <c r="CS124" s="17">
        <f t="shared" si="105"/>
        <v>10.18</v>
      </c>
      <c r="CT124" s="2" cm="1">
        <f t="array" aca="1" ref="CT124" ca="1">MAX(_xlfn._xlws.FILTER(CM124:CS124,CM124:CS124&lt;BO124))</f>
        <v>6.37</v>
      </c>
      <c r="CU124" s="2" cm="1">
        <f t="array" aca="1" ref="CU124" ca="1">MIN(_xlfn._xlws.FILTER($CM124:$CS124,$CM124:$CS124&gt;BO124))</f>
        <v>7.71</v>
      </c>
      <c r="CV124" s="16">
        <f t="shared" ca="1" si="136"/>
        <v>0.21036106750392469</v>
      </c>
      <c r="CW124" s="20">
        <f t="shared" ca="1" si="137"/>
        <v>-0.10518053375196235</v>
      </c>
      <c r="CX124" s="20">
        <f t="shared" ca="1" si="138"/>
        <v>-7.012035583464156E-2</v>
      </c>
      <c r="CY124" s="20">
        <f t="shared" ca="1" si="139"/>
        <v>-4.2072213500784938E-2</v>
      </c>
      <c r="CZ124" s="20">
        <f t="shared" ca="1" si="140"/>
        <v>-2.3373451944880521E-2</v>
      </c>
      <c r="DA124" s="20">
        <f t="shared" ca="1" si="141"/>
        <v>-1.2374180441407335E-2</v>
      </c>
      <c r="DB124" s="20">
        <f t="shared" ca="1" si="142"/>
        <v>-6.3745778031492331E-3</v>
      </c>
      <c r="DC124" s="20">
        <f t="shared" ca="1" si="143"/>
        <v>-3.2363241154449952E-3</v>
      </c>
      <c r="DD124" s="21">
        <f t="shared" ca="1" si="144"/>
        <v>3.2363241154449952E-3</v>
      </c>
      <c r="DE124" s="21">
        <f t="shared" ca="1" si="145"/>
        <v>6.3745778031492331E-3</v>
      </c>
      <c r="DF124" s="21">
        <f t="shared" ca="1" si="146"/>
        <v>1.2374180441407335E-2</v>
      </c>
      <c r="DG124" s="21">
        <f t="shared" ca="1" si="147"/>
        <v>2.3373451944880521E-2</v>
      </c>
      <c r="DH124" s="21">
        <f t="shared" ca="1" si="148"/>
        <v>4.2072213500784938E-2</v>
      </c>
      <c r="DI124" s="21">
        <f t="shared" ca="1" si="149"/>
        <v>7.012035583464156E-2</v>
      </c>
      <c r="DJ124" s="21">
        <f t="shared" ca="1" si="150"/>
        <v>0.10518053375196235</v>
      </c>
      <c r="DL124" s="16" cm="1">
        <f t="array" aca="1" ref="DL124" ca="1">MAX(_xlfn._xlws.FILTER(CW124:DJ124,CW124:DJ124&lt;BU124))</f>
        <v>-6.3745778031492331E-3</v>
      </c>
      <c r="DM124" s="16" cm="1">
        <f t="array" aca="1" ref="DM124" ca="1">MIN(_xlfn._xlws.FILTER(CW124:DJ124,CW124:DJ124&gt;BU124))</f>
        <v>-3.2363241154449952E-3</v>
      </c>
      <c r="DN124" s="2" cm="1">
        <f t="array" aca="1" ref="DN124" ca="1">_FV(EC124,"Fechamento anterior",TRUE)</f>
        <v>6.61</v>
      </c>
      <c r="DO124" s="28">
        <f t="shared" ca="1" si="106"/>
        <v>0.58503871056969359</v>
      </c>
      <c r="DP124" s="15">
        <f t="shared" ca="1" si="151"/>
        <v>6.5678640407211839</v>
      </c>
      <c r="DQ124" s="15">
        <f t="shared" ca="1" si="152"/>
        <v>6.5886078975969085</v>
      </c>
      <c r="DR124" s="9"/>
      <c r="DS124" s="9"/>
      <c r="DT124" s="9"/>
      <c r="DU124" s="89">
        <v>1.1845777094367562E-2</v>
      </c>
      <c r="DV124" s="89">
        <f t="shared" ca="1" si="107"/>
        <v>3.1382536877042379E-3</v>
      </c>
      <c r="DW124" s="75">
        <f t="shared" ca="1" si="108"/>
        <v>0.43059189003439052</v>
      </c>
      <c r="DX124" s="37"/>
      <c r="DY124" s="35">
        <f t="shared" si="118"/>
        <v>0.31352192905760196</v>
      </c>
      <c r="DZ124" s="56"/>
      <c r="EA124" s="56"/>
      <c r="EC124" s="2" t="e" vm="123">
        <v>#VALUE!</v>
      </c>
      <c r="EE124" s="10" cm="1">
        <f t="array" aca="1" ref="EE124" ca="1">_FV(EC124,"Ações em circulação",TRUE)</f>
        <v>1511206000</v>
      </c>
      <c r="EF124" s="18">
        <f>VLOOKUP(BP124,Fundamentus!A:U,5,FALSE)</f>
        <v>1.48</v>
      </c>
      <c r="EG124" s="2">
        <f t="shared" ca="1" si="109"/>
        <v>6718740189.189189</v>
      </c>
      <c r="EH124" s="17">
        <v>2293106026.5702701</v>
      </c>
      <c r="EI124" s="17">
        <f t="shared" ca="1" si="110"/>
        <v>2293106026.5702701</v>
      </c>
      <c r="EK124" s="16">
        <f t="shared" ca="1" si="97"/>
        <v>0</v>
      </c>
      <c r="EL124" s="32" t="str">
        <f>IF(VLOOKUP(BP124,Fundamentus!A:U,3,FALSE)&lt;15,"Bom",IF(VLOOKUP(BP124,Fundamentus!A:U,3,FALSE)&gt;15,"Ruim","n/a"))</f>
        <v>Bom</v>
      </c>
      <c r="EM124" s="28" t="str">
        <f>IF(VLOOKUP(BP124,Fundamentus!A:U,4,FALSE)&lt;1,"Baixo",IF(VLOOKUP(BP124,Fundamentus!A:U,4,FALSE)&lt;1.5,"Moderado",IF(VLOOKUP(BP124,Fundamentus!A:U,4,FALSE)&gt;1.5,"Alto","n/a")))</f>
        <v>Baixo</v>
      </c>
      <c r="EN124" s="17" t="str">
        <f>IF(VLOOKUP(BP124,Fundamentus!A:U,8,FALSE)&lt;0,"Risco elevado",IF(VLOOKUP(BP124,Fundamentus!A:U,8,FALSE)&lt;1,"Saudável",IF(VLOOKUP(BP124,Fundamentus!A:U,8,FALSE)&lt;3,"Estável",IF(VLOOKUP(BP124,Fundamentus!A:U,8,FALSE)&gt;3,"Alerta","n/a"))))</f>
        <v>Alerta</v>
      </c>
      <c r="EO124" s="28" t="str">
        <f t="shared" si="111"/>
        <v>Bom</v>
      </c>
      <c r="EP124" s="17" t="str">
        <f>IF(VLOOKUP(BP124,Fundamentus!A:U,12,FALSE)&lt;2,"Subvalorizada",IF(VLOOKUP(BP124,Fundamentus!A:U,12,FALSE)&lt;6,"Muita barata",IF(VLOOKUP(BP124,Fundamentus!A:U,12,FALSE)&lt;6,"Barata",IF(VLOOKUP(BP124,Fundamentus!A:U,12,FALSE)&lt;8,"Atrativa",IF(VLOOKUP(BP124,Fundamentus!A:U,12,FALSE)&gt;8,"Supervalorizada","n/a")))))</f>
        <v>Atrativa</v>
      </c>
      <c r="ER124" s="17" t="str">
        <f>IF(VLOOKUP(BP124,Fundamentus!A:U,17,FALSE)&lt;0.1,"Fraco retorno",IF(VLOOKUP(BP124,Fundamentus!A:U,17,FALSE)&gt;0.1,"Bom retorno","n/a"))</f>
        <v>Bom retorno</v>
      </c>
      <c r="ES124" s="17" t="str">
        <f>IF(VLOOKUP(BP124,Fundamentus!A:U,16,FALSE)&lt;0.1,"Ineficiente",IF(VLOOKUP(BP124,Fundamentus!A:U,16,FALSE)&gt;0.1,"Eficiente","n/a"))</f>
        <v>Ineficiente</v>
      </c>
      <c r="ET124" s="33" t="str">
        <f>IF(VLOOKUP(BP124,Fundamentus!A:U,16,FALSE)&lt;0.1,"Oper. Ineficiente",IF(VLOOKUP(BP124,Fundamentus!A:U,16,FALSE)&gt;0.1,"Oper.Eficiente","n/a"))</f>
        <v>Oper. Ineficiente</v>
      </c>
      <c r="EU124" s="34">
        <f>VLOOKUP(BP124,Fundamentus!A:U,14,FALSE)</f>
        <v>0.34129999999999999</v>
      </c>
      <c r="EV124" s="17" t="str">
        <f>IF(VLOOKUP(BP124,Fundamentus!A:U,21,FALSE)&lt;0,"Negativo",IF(VLOOKUP(BP124,Fundamentus!A:U,21,FALSE)&lt;0.05,"Fraco",IF(VLOOKUP(BP124,Fundamentus!A:U,21,FALSE)&lt;0.1,"Bom",IF(VLOOKUP(BP124,Fundamentus!A:U,21,FALSE)&gt;0.1,"Muito bom","n/a"))))</f>
        <v>Bom</v>
      </c>
      <c r="EX124" s="29" t="str">
        <f>IF(VLOOKUP(BP124,Fundamentus!A:U,15,FALSE)&gt;1,"Bom",IF(VLOOKUP(BP124,Fundamentus!A:U,15,FALSE)&lt;1,"Ruim","n/a"))</f>
        <v>Bom</v>
      </c>
      <c r="EY124" s="17" t="str">
        <f>IF(VLOOKUP(BP124,Fundamentus!A:U,20,FALSE)&lt;0.5,"Baixa",IF(VLOOKUP(BP124,Fundamentus!A:U,20,FALSE)&lt;1,"Moderada",IF(VLOOKUP(BP124,Fundamentus!A:U,20,FALSE)&lt;2,"Alerta",IF(VLOOKUP(BP124,Fundamentus!A:U,20,FALSE)&gt;2,"Alta","n/a"))))</f>
        <v>Moderada</v>
      </c>
      <c r="EZ124" s="10">
        <v>3</v>
      </c>
    </row>
    <row r="125" spans="1:156" s="2" customFormat="1" ht="11.25" x14ac:dyDescent="0.2">
      <c r="A125" s="4">
        <v>17.079999999999998</v>
      </c>
      <c r="B125" s="4">
        <v>17.21</v>
      </c>
      <c r="C125" s="4">
        <v>16.48</v>
      </c>
      <c r="D125" s="4">
        <v>15.4</v>
      </c>
      <c r="E125" s="4">
        <v>14.81</v>
      </c>
      <c r="F125" s="4">
        <v>15.1</v>
      </c>
      <c r="G125" s="4">
        <v>14.8</v>
      </c>
      <c r="H125" s="4">
        <v>15.11</v>
      </c>
      <c r="I125" s="4">
        <v>15.54</v>
      </c>
      <c r="J125" s="4">
        <v>15.7</v>
      </c>
      <c r="K125" s="4">
        <v>15.95</v>
      </c>
      <c r="L125" s="4">
        <v>15.07</v>
      </c>
      <c r="M125" s="4">
        <v>15.3</v>
      </c>
      <c r="N125" s="4">
        <v>14.89</v>
      </c>
      <c r="O125" s="4">
        <v>16.53</v>
      </c>
      <c r="P125" s="4">
        <v>13.84</v>
      </c>
      <c r="Q125" s="4">
        <v>13.75</v>
      </c>
      <c r="R125" s="4">
        <v>13.55</v>
      </c>
      <c r="S125" s="4">
        <v>13.6</v>
      </c>
      <c r="T125" s="4">
        <v>14.25</v>
      </c>
      <c r="U125" s="4">
        <v>13.63</v>
      </c>
      <c r="V125" s="4">
        <v>14</v>
      </c>
      <c r="W125" s="4">
        <v>14.84</v>
      </c>
      <c r="X125" s="4">
        <v>14.9</v>
      </c>
      <c r="Y125" s="4">
        <v>14.39</v>
      </c>
      <c r="Z125" s="4">
        <v>14.06</v>
      </c>
      <c r="AA125" s="4">
        <v>13.62</v>
      </c>
      <c r="AB125" s="4">
        <v>14.48</v>
      </c>
      <c r="AC125" s="4">
        <v>14.38</v>
      </c>
      <c r="AD125" s="4">
        <v>14.25</v>
      </c>
      <c r="AE125" s="4">
        <v>13.88</v>
      </c>
      <c r="AF125" s="4">
        <v>14.21</v>
      </c>
      <c r="AG125" s="4">
        <v>12.78</v>
      </c>
      <c r="AH125" s="4">
        <v>13.12</v>
      </c>
      <c r="AI125" s="4">
        <v>12.88</v>
      </c>
      <c r="AJ125" s="4">
        <v>12.42</v>
      </c>
      <c r="AK125" s="4">
        <v>12.6</v>
      </c>
      <c r="AL125" s="4">
        <v>12.41</v>
      </c>
      <c r="AM125" s="4">
        <v>12.08</v>
      </c>
      <c r="AN125" s="4">
        <v>12.62</v>
      </c>
      <c r="AO125" s="4">
        <v>12.49</v>
      </c>
      <c r="AP125" s="4">
        <v>13.53</v>
      </c>
      <c r="AQ125" s="4">
        <v>13.86</v>
      </c>
      <c r="AR125" s="4">
        <v>12.93</v>
      </c>
      <c r="AS125" s="4">
        <v>13.37</v>
      </c>
      <c r="AT125" s="4">
        <v>9.5</v>
      </c>
      <c r="AU125" s="4">
        <v>9.6449999999999996</v>
      </c>
      <c r="AV125" s="4">
        <v>10.45</v>
      </c>
      <c r="AW125" s="4">
        <v>9.15</v>
      </c>
      <c r="AX125" s="4">
        <v>9.3699999999999992</v>
      </c>
      <c r="AY125" s="12">
        <v>9.34</v>
      </c>
      <c r="AZ125" s="12">
        <v>9.9700000000000006</v>
      </c>
      <c r="BA125" s="12">
        <v>9.51</v>
      </c>
      <c r="BB125" s="15">
        <v>9.2899999999999991</v>
      </c>
      <c r="BC125" s="52">
        <v>10.36</v>
      </c>
      <c r="BD125" s="52">
        <v>10.31</v>
      </c>
      <c r="BE125" s="52">
        <v>10.47</v>
      </c>
      <c r="BF125" s="52">
        <v>10.54</v>
      </c>
      <c r="BG125" s="67">
        <v>10.24</v>
      </c>
      <c r="BH125" s="52">
        <v>10.5</v>
      </c>
      <c r="BI125" s="52">
        <v>10.87</v>
      </c>
      <c r="BJ125" s="52">
        <v>10.51</v>
      </c>
      <c r="BK125" s="52">
        <v>9.7899999999999991</v>
      </c>
      <c r="BL125" s="52">
        <v>9.51</v>
      </c>
      <c r="BM125" s="52">
        <v>9.16</v>
      </c>
      <c r="BN125" s="52">
        <v>8.91</v>
      </c>
      <c r="BO125" s="52" cm="1">
        <f t="array" aca="1" ref="BO125" ca="1">_FV(EC125,"Preço")</f>
        <v>8.91</v>
      </c>
      <c r="BP125" s="69" t="s">
        <v>121</v>
      </c>
      <c r="BQ125" s="36" cm="1">
        <f t="array" aca="1" ref="BQ125" ca="1">_FV(EC125,"Média de volume",TRUE)</f>
        <v>4680890</v>
      </c>
      <c r="BR125" s="36">
        <v>4320600</v>
      </c>
      <c r="BS125" s="36" cm="1">
        <f t="array" aca="1" ref="BS125" ca="1">_FV(EC125,"Volume")</f>
        <v>4320600</v>
      </c>
      <c r="BT125" s="24" cm="1">
        <f t="array" aca="1" ref="BT125" ca="1">_FV(EC125,"Beta")</f>
        <v>1.2029000000000001</v>
      </c>
      <c r="BU125" s="71" cm="1">
        <f t="array" aca="1" ref="BU125" ca="1">_FV(EC125,"Variação (%)",TRUE)</f>
        <v>-1.3289E-2</v>
      </c>
      <c r="BW125" s="17" cm="1">
        <f t="array" aca="1" ref="BW125" ca="1">_FV(EC125,"Baixo")</f>
        <v>8.91</v>
      </c>
      <c r="BX125" s="17" cm="1">
        <f t="array" aca="1" ref="BX125" ca="1">_FV(EC125,"Alto")</f>
        <v>9.24</v>
      </c>
      <c r="BY125" s="24"/>
      <c r="BZ125" s="63" t="e">
        <f ca="1">SQRT(22.5*(BO125/VLOOKUP(BP125,Fundamentus!A:U,3,FALSE))*(BO125/VLOOKUP(BP125,Fundamentus!A:U,4,FALSE)))</f>
        <v>#NUM!</v>
      </c>
      <c r="CB125" s="62">
        <f t="shared" ca="1" si="112"/>
        <v>0</v>
      </c>
      <c r="CC125" s="8"/>
      <c r="CD125" s="61">
        <f t="shared" si="113"/>
        <v>8.91</v>
      </c>
      <c r="CE125" s="61">
        <f t="shared" si="114"/>
        <v>17.21</v>
      </c>
      <c r="CF125" s="61">
        <f t="shared" si="115"/>
        <v>12.864924242424239</v>
      </c>
      <c r="CG125" s="14"/>
      <c r="CH125" s="35">
        <f t="shared" si="98"/>
        <v>7.4853622212632001</v>
      </c>
      <c r="CI125" s="15">
        <f t="shared" si="116"/>
        <v>8.5950000000000273</v>
      </c>
      <c r="CJ125" s="35">
        <f t="shared" si="99"/>
        <v>9.7046377787368545</v>
      </c>
      <c r="CL125" s="14"/>
      <c r="CM125" s="17">
        <f t="shared" si="100"/>
        <v>-2.1566666666666663</v>
      </c>
      <c r="CN125" s="17">
        <f t="shared" si="101"/>
        <v>3.3766666666666669</v>
      </c>
      <c r="CO125" s="17">
        <f t="shared" si="102"/>
        <v>6.1433333333333344</v>
      </c>
      <c r="CP125" s="38">
        <f t="shared" si="117"/>
        <v>11.676666666666668</v>
      </c>
      <c r="CQ125" s="17">
        <f t="shared" si="103"/>
        <v>14.443333333333335</v>
      </c>
      <c r="CR125" s="17">
        <f t="shared" si="104"/>
        <v>19.976666666666667</v>
      </c>
      <c r="CS125" s="17">
        <f t="shared" si="105"/>
        <v>22.743333333333336</v>
      </c>
      <c r="CT125" s="2" cm="1">
        <f t="array" aca="1" ref="CT125" ca="1">MAX(_xlfn._xlws.FILTER(CM125:CS125,CM125:CS125&lt;BO125))</f>
        <v>6.1433333333333344</v>
      </c>
      <c r="CU125" s="2" cm="1">
        <f t="array" aca="1" ref="CU125" ca="1">MIN(_xlfn._xlws.FILTER($CM125:$CS125,$CM125:$CS125&gt;BO125))</f>
        <v>11.676666666666668</v>
      </c>
      <c r="CV125" s="16">
        <f t="shared" ca="1" si="136"/>
        <v>0.90070537167661402</v>
      </c>
      <c r="CW125" s="20">
        <f t="shared" ca="1" si="137"/>
        <v>-0.45035268583830701</v>
      </c>
      <c r="CX125" s="20">
        <f t="shared" ca="1" si="138"/>
        <v>-0.30023512389220469</v>
      </c>
      <c r="CY125" s="20">
        <f t="shared" ca="1" si="139"/>
        <v>-0.18014107433532281</v>
      </c>
      <c r="CZ125" s="20">
        <f t="shared" ca="1" si="140"/>
        <v>-0.10007837463073489</v>
      </c>
      <c r="DA125" s="20">
        <f t="shared" ca="1" si="141"/>
        <v>-5.2982668922153767E-2</v>
      </c>
      <c r="DB125" s="20">
        <f t="shared" ca="1" si="142"/>
        <v>-2.7294102172018608E-2</v>
      </c>
      <c r="DC125" s="20">
        <f t="shared" ca="1" si="143"/>
        <v>-1.3857005718101754E-2</v>
      </c>
      <c r="DD125" s="21">
        <f t="shared" ca="1" si="144"/>
        <v>1.3857005718101754E-2</v>
      </c>
      <c r="DE125" s="21">
        <f t="shared" ca="1" si="145"/>
        <v>2.7294102172018608E-2</v>
      </c>
      <c r="DF125" s="21">
        <f t="shared" ca="1" si="146"/>
        <v>5.2982668922153767E-2</v>
      </c>
      <c r="DG125" s="21">
        <f t="shared" ca="1" si="147"/>
        <v>0.10007837463073489</v>
      </c>
      <c r="DH125" s="21">
        <f t="shared" ca="1" si="148"/>
        <v>0.18014107433532281</v>
      </c>
      <c r="DI125" s="21">
        <f t="shared" ca="1" si="149"/>
        <v>0.30023512389220469</v>
      </c>
      <c r="DJ125" s="21">
        <f t="shared" ca="1" si="150"/>
        <v>0.45035268583830701</v>
      </c>
      <c r="DL125" s="16" cm="1">
        <f t="array" aca="1" ref="DL125" ca="1">MAX(_xlfn._xlws.FILTER(CW125:DJ125,CW125:DJ125&lt;BU125))</f>
        <v>-1.3857005718101754E-2</v>
      </c>
      <c r="DM125" s="16" cm="1">
        <f t="array" aca="1" ref="DM125" ca="1">MIN(_xlfn._xlws.FILTER(CW125:DJ125,CW125:DJ125&gt;BU125))</f>
        <v>1.3857005718101754E-2</v>
      </c>
      <c r="DN125" s="2" cm="1">
        <f t="array" aca="1" ref="DN125" ca="1">_FV(EC125,"Fechamento anterior",TRUE)</f>
        <v>9.0299999999999994</v>
      </c>
      <c r="DO125" s="28">
        <f t="shared" ca="1" si="106"/>
        <v>2.0493935876398587E-2</v>
      </c>
      <c r="DP125" s="15">
        <f t="shared" ca="1" si="151"/>
        <v>8.9048712383655406</v>
      </c>
      <c r="DQ125" s="15">
        <f t="shared" ca="1" si="152"/>
        <v>9.1551287616344581</v>
      </c>
      <c r="DR125" s="9"/>
      <c r="DS125" s="9"/>
      <c r="DT125" s="9"/>
      <c r="DU125" s="89">
        <v>2.2351221578998243E-2</v>
      </c>
      <c r="DV125" s="89">
        <f t="shared" ca="1" si="107"/>
        <v>2.7714011436203508E-2</v>
      </c>
      <c r="DW125" s="72">
        <f t="shared" ca="1" si="108"/>
        <v>0.28387641988772033</v>
      </c>
      <c r="DX125" s="37"/>
      <c r="DY125" s="35">
        <f t="shared" si="118"/>
        <v>0.55481888936841339</v>
      </c>
      <c r="DZ125" s="56"/>
      <c r="EA125" s="56"/>
      <c r="EC125" s="2" t="e" vm="124">
        <v>#VALUE!</v>
      </c>
      <c r="EE125" s="10" cm="1">
        <f t="array" aca="1" ref="EE125" ca="1">_FV(EC125,"Ações em circulação",TRUE)</f>
        <v>1374118000</v>
      </c>
      <c r="EF125" s="18">
        <f>VLOOKUP(BP125,Fundamentus!A:U,5,FALSE)</f>
        <v>0.60199999999999998</v>
      </c>
      <c r="EG125" s="2">
        <f t="shared" ca="1" si="109"/>
        <v>20337859435.215946</v>
      </c>
      <c r="EH125" s="17">
        <v>-6717594971.451827</v>
      </c>
      <c r="EI125" s="17">
        <f t="shared" ca="1" si="110"/>
        <v>-6717594971.451827</v>
      </c>
      <c r="EK125" s="16">
        <f t="shared" ca="1" si="97"/>
        <v>0</v>
      </c>
      <c r="EL125" s="32" t="str">
        <f>IF(VLOOKUP(BP125,Fundamentus!A:U,3,FALSE)&lt;15,"Bom",IF(VLOOKUP(BP125,Fundamentus!A:U,3,FALSE)&gt;15,"Ruim","n/a"))</f>
        <v>Bom</v>
      </c>
      <c r="EM125" s="28" t="str">
        <f>IF(VLOOKUP(BP125,Fundamentus!A:U,4,FALSE)&lt;1,"Baixo",IF(VLOOKUP(BP125,Fundamentus!A:U,4,FALSE)&lt;1.5,"Moderado",IF(VLOOKUP(BP125,Fundamentus!A:U,4,FALSE)&gt;1.5,"Alto","n/a")))</f>
        <v>Baixo</v>
      </c>
      <c r="EN125" s="17" t="str">
        <f>IF(VLOOKUP(BP125,Fundamentus!A:U,8,FALSE)&lt;0,"Risco elevado",IF(VLOOKUP(BP125,Fundamentus!A:U,8,FALSE)&lt;1,"Saudável",IF(VLOOKUP(BP125,Fundamentus!A:U,8,FALSE)&lt;3,"Estável",IF(VLOOKUP(BP125,Fundamentus!A:U,8,FALSE)&gt;3,"Alerta","n/a"))))</f>
        <v>Estável</v>
      </c>
      <c r="EO125" s="28" t="str">
        <f t="shared" si="111"/>
        <v>Ruim</v>
      </c>
      <c r="EP125" s="17" t="str">
        <f>IF(VLOOKUP(BP125,Fundamentus!A:U,12,FALSE)&lt;2,"Subvalorizada",IF(VLOOKUP(BP125,Fundamentus!A:U,12,FALSE)&lt;6,"Muita barata",IF(VLOOKUP(BP125,Fundamentus!A:U,12,FALSE)&lt;6,"Barata",IF(VLOOKUP(BP125,Fundamentus!A:U,12,FALSE)&lt;8,"Atrativa",IF(VLOOKUP(BP125,Fundamentus!A:U,12,FALSE)&gt;8,"Supervalorizada","n/a")))))</f>
        <v>Muita barata</v>
      </c>
      <c r="ER125" s="17" t="str">
        <f>IF(VLOOKUP(BP125,Fundamentus!A:U,17,FALSE)&lt;0.1,"Fraco retorno",IF(VLOOKUP(BP125,Fundamentus!A:U,17,FALSE)&gt;0.1,"Bom retorno","n/a"))</f>
        <v>Fraco retorno</v>
      </c>
      <c r="ES125" s="17" t="str">
        <f>IF(VLOOKUP(BP125,Fundamentus!A:U,16,FALSE)&lt;0.1,"Ineficiente",IF(VLOOKUP(BP125,Fundamentus!A:U,16,FALSE)&gt;0.1,"Eficiente","n/a"))</f>
        <v>Ineficiente</v>
      </c>
      <c r="ET125" s="33" t="str">
        <f>IF(VLOOKUP(BP125,Fundamentus!A:U,16,FALSE)&lt;0.1,"Oper. Ineficiente",IF(VLOOKUP(BP125,Fundamentus!A:U,16,FALSE)&gt;0.1,"Oper.Eficiente","n/a"))</f>
        <v>Oper. Ineficiente</v>
      </c>
      <c r="EU125" s="34">
        <f>VLOOKUP(BP125,Fundamentus!A:U,14,FALSE)</f>
        <v>-0.33029999999999998</v>
      </c>
      <c r="EV125" s="17" t="str">
        <f>IF(VLOOKUP(BP125,Fundamentus!A:U,21,FALSE)&lt;0,"Negativo",IF(VLOOKUP(BP125,Fundamentus!A:U,21,FALSE)&lt;0.05,"Fraco",IF(VLOOKUP(BP125,Fundamentus!A:U,21,FALSE)&lt;0.1,"Bom",IF(VLOOKUP(BP125,Fundamentus!A:U,21,FALSE)&gt;0.1,"Muito bom","n/a"))))</f>
        <v>Negativo</v>
      </c>
      <c r="EX125" s="29" t="str">
        <f>IF(VLOOKUP(BP125,Fundamentus!A:U,15,FALSE)&gt;1,"Bom",IF(VLOOKUP(BP125,Fundamentus!A:U,15,FALSE)&lt;1,"Ruim","n/a"))</f>
        <v>Bom</v>
      </c>
      <c r="EY125" s="17" t="str">
        <f>IF(VLOOKUP(BP125,Fundamentus!A:U,20,FALSE)&lt;0.5,"Baixa",IF(VLOOKUP(BP125,Fundamentus!A:U,20,FALSE)&lt;1,"Moderada",IF(VLOOKUP(BP125,Fundamentus!A:U,20,FALSE)&lt;2,"Alerta",IF(VLOOKUP(BP125,Fundamentus!A:U,20,FALSE)&gt;2,"Alta","n/a"))))</f>
        <v>Baixa</v>
      </c>
      <c r="EZ125" s="10"/>
    </row>
    <row r="126" spans="1:156" s="2" customFormat="1" ht="11.25" x14ac:dyDescent="0.2">
      <c r="A126" s="4">
        <v>7.18</v>
      </c>
      <c r="B126" s="4">
        <v>7.34</v>
      </c>
      <c r="C126" s="4">
        <v>7.13</v>
      </c>
      <c r="D126" s="4">
        <v>6.6</v>
      </c>
      <c r="E126" s="4">
        <v>6.51</v>
      </c>
      <c r="F126" s="4">
        <v>6.38</v>
      </c>
      <c r="G126" s="4">
        <v>6.33</v>
      </c>
      <c r="H126" s="4">
        <v>6.29</v>
      </c>
      <c r="I126" s="4">
        <v>6.55</v>
      </c>
      <c r="J126" s="4">
        <v>6.73</v>
      </c>
      <c r="K126" s="4">
        <v>6.38</v>
      </c>
      <c r="L126" s="4">
        <v>6.32</v>
      </c>
      <c r="M126" s="4">
        <v>6.21</v>
      </c>
      <c r="N126" s="4">
        <v>6.19</v>
      </c>
      <c r="O126" s="4">
        <v>6.48</v>
      </c>
      <c r="P126" s="4">
        <v>6.39</v>
      </c>
      <c r="Q126" s="4">
        <v>6.56</v>
      </c>
      <c r="R126" s="4">
        <v>6.35</v>
      </c>
      <c r="S126" s="4">
        <v>6.55</v>
      </c>
      <c r="T126" s="4">
        <v>6.57</v>
      </c>
      <c r="U126" s="4">
        <v>6.24</v>
      </c>
      <c r="V126" s="4">
        <v>6.34</v>
      </c>
      <c r="W126" s="4">
        <v>7.08</v>
      </c>
      <c r="X126" s="4">
        <v>6.3</v>
      </c>
      <c r="Y126" s="4">
        <v>6.27</v>
      </c>
      <c r="Z126" s="4">
        <v>6.1</v>
      </c>
      <c r="AA126" s="4">
        <v>5.9</v>
      </c>
      <c r="AB126" s="4">
        <v>5.81</v>
      </c>
      <c r="AC126" s="4">
        <v>5.73</v>
      </c>
      <c r="AD126" s="4">
        <v>5.98</v>
      </c>
      <c r="AE126" s="4">
        <v>5.71</v>
      </c>
      <c r="AF126" s="4">
        <v>5.71</v>
      </c>
      <c r="AG126" s="4">
        <v>5.63</v>
      </c>
      <c r="AH126" s="4">
        <v>5.44</v>
      </c>
      <c r="AI126" s="4">
        <v>5.35</v>
      </c>
      <c r="AJ126" s="4">
        <v>5.46</v>
      </c>
      <c r="AK126" s="4">
        <v>5.57</v>
      </c>
      <c r="AL126" s="4">
        <v>5.6</v>
      </c>
      <c r="AM126" s="4">
        <v>5.66</v>
      </c>
      <c r="AN126" s="4">
        <v>6.14</v>
      </c>
      <c r="AO126" s="4">
        <v>5.94</v>
      </c>
      <c r="AP126" s="4">
        <v>6.06</v>
      </c>
      <c r="AQ126" s="4">
        <v>6.09</v>
      </c>
      <c r="AR126" s="4">
        <v>5.68</v>
      </c>
      <c r="AS126" s="4">
        <v>6.08</v>
      </c>
      <c r="AT126" s="4">
        <v>6.95</v>
      </c>
      <c r="AU126" s="4">
        <v>6.72</v>
      </c>
      <c r="AV126" s="4">
        <v>6.18</v>
      </c>
      <c r="AW126" s="4">
        <v>5.69</v>
      </c>
      <c r="AX126" s="4">
        <v>5.6</v>
      </c>
      <c r="AY126" s="12">
        <v>5.83</v>
      </c>
      <c r="AZ126" s="12">
        <v>5.81</v>
      </c>
      <c r="BA126" s="12">
        <v>5.75</v>
      </c>
      <c r="BB126" s="15">
        <v>5.97</v>
      </c>
      <c r="BC126" s="52">
        <v>6.36</v>
      </c>
      <c r="BD126" s="52">
        <v>6.6</v>
      </c>
      <c r="BE126" s="52">
        <v>7.19</v>
      </c>
      <c r="BF126" s="52">
        <v>7.49</v>
      </c>
      <c r="BG126" s="67">
        <v>7.11</v>
      </c>
      <c r="BH126" s="52">
        <v>7.33</v>
      </c>
      <c r="BI126" s="52">
        <v>7.34</v>
      </c>
      <c r="BJ126" s="52">
        <v>7.31</v>
      </c>
      <c r="BK126" s="52">
        <v>7.22</v>
      </c>
      <c r="BL126" s="52">
        <v>7.01</v>
      </c>
      <c r="BM126" s="52">
        <v>6.96</v>
      </c>
      <c r="BN126" s="52">
        <v>6.95</v>
      </c>
      <c r="BO126" s="52" cm="1">
        <f t="array" aca="1" ref="BO126" ca="1">_FV(EC126,"Preço")</f>
        <v>6.95</v>
      </c>
      <c r="BP126" s="69" t="s">
        <v>122</v>
      </c>
      <c r="BQ126" s="36" cm="1">
        <f t="array" aca="1" ref="BQ126" ca="1">_FV(EC126,"Média de volume",TRUE)</f>
        <v>799150</v>
      </c>
      <c r="BR126" s="36">
        <v>936300</v>
      </c>
      <c r="BS126" s="36" cm="1">
        <f t="array" aca="1" ref="BS126" ca="1">_FV(EC126,"Volume")</f>
        <v>936300</v>
      </c>
      <c r="BT126" s="24" cm="1">
        <f t="array" aca="1" ref="BT126" ca="1">_FV(EC126,"Beta")</f>
        <v>1.4468000000000001</v>
      </c>
      <c r="BU126" s="71" cm="1">
        <f t="array" aca="1" ref="BU126" ca="1">_FV(EC126,"Variação (%)",TRUE)</f>
        <v>0</v>
      </c>
      <c r="BW126" s="17" cm="1">
        <f t="array" aca="1" ref="BW126" ca="1">_FV(EC126,"Baixo")</f>
        <v>6.95</v>
      </c>
      <c r="BX126" s="17" cm="1">
        <f t="array" aca="1" ref="BX126" ca="1">_FV(EC126,"Alto")</f>
        <v>7.19</v>
      </c>
      <c r="BY126" s="24"/>
      <c r="BZ126" s="63">
        <f ca="1">SQRT(22.5*(BO126/VLOOKUP(BP126,Fundamentus!A:U,3,FALSE))*(BO126/VLOOKUP(BP126,Fundamentus!A:U,4,FALSE)))</f>
        <v>5.639049640024429</v>
      </c>
      <c r="CB126" s="62">
        <f t="shared" ca="1" si="112"/>
        <v>0</v>
      </c>
      <c r="CC126" s="8"/>
      <c r="CD126" s="61">
        <f t="shared" si="113"/>
        <v>5.35</v>
      </c>
      <c r="CE126" s="61">
        <f t="shared" si="114"/>
        <v>7.49</v>
      </c>
      <c r="CF126" s="61">
        <f t="shared" si="115"/>
        <v>6.337575757575757</v>
      </c>
      <c r="CG126" s="14"/>
      <c r="CH126" s="35">
        <f t="shared" si="98"/>
        <v>6.5257891912250043</v>
      </c>
      <c r="CI126" s="15">
        <f t="shared" si="116"/>
        <v>6.8199999999999363</v>
      </c>
      <c r="CJ126" s="35">
        <f t="shared" si="99"/>
        <v>7.1142108087748683</v>
      </c>
      <c r="CL126" s="14"/>
      <c r="CM126" s="17">
        <f t="shared" si="100"/>
        <v>3.5633333333333326</v>
      </c>
      <c r="CN126" s="17">
        <f t="shared" si="101"/>
        <v>4.4566666666666661</v>
      </c>
      <c r="CO126" s="17">
        <f t="shared" si="102"/>
        <v>5.7033333333333331</v>
      </c>
      <c r="CP126" s="38">
        <f t="shared" si="117"/>
        <v>6.5966666666666667</v>
      </c>
      <c r="CQ126" s="17">
        <f t="shared" si="103"/>
        <v>7.8433333333333337</v>
      </c>
      <c r="CR126" s="17">
        <f t="shared" si="104"/>
        <v>8.7366666666666681</v>
      </c>
      <c r="CS126" s="17">
        <f t="shared" si="105"/>
        <v>9.9833333333333343</v>
      </c>
      <c r="CT126" s="2" cm="1">
        <f t="array" aca="1" ref="CT126" ca="1">MAX(_xlfn._xlws.FILTER(CM126:CS126,CM126:CS126&lt;BO126))</f>
        <v>6.5966666666666667</v>
      </c>
      <c r="CU126" s="2" cm="1">
        <f t="array" aca="1" ref="CU126" ca="1">MIN(_xlfn._xlws.FILTER($CM126:$CS126,$CM126:$CS126&gt;BO126))</f>
        <v>7.8433333333333337</v>
      </c>
      <c r="CV126" s="16">
        <f t="shared" ca="1" si="136"/>
        <v>0.18898433552299143</v>
      </c>
      <c r="CW126" s="20">
        <f t="shared" ca="1" si="137"/>
        <v>-9.4492167761495716E-2</v>
      </c>
      <c r="CX126" s="20">
        <f t="shared" ca="1" si="138"/>
        <v>-6.2994778507663815E-2</v>
      </c>
      <c r="CY126" s="20">
        <f t="shared" ca="1" si="139"/>
        <v>-3.7796867104598286E-2</v>
      </c>
      <c r="CZ126" s="20">
        <f t="shared" ca="1" si="140"/>
        <v>-2.0998259502554604E-2</v>
      </c>
      <c r="DA126" s="20">
        <f t="shared" ca="1" si="141"/>
        <v>-1.1116725618999497E-2</v>
      </c>
      <c r="DB126" s="20">
        <f t="shared" ca="1" si="142"/>
        <v>-5.7267980461512555E-3</v>
      </c>
      <c r="DC126" s="20">
        <f t="shared" ca="1" si="143"/>
        <v>-2.9074513157383297E-3</v>
      </c>
      <c r="DD126" s="21">
        <f t="shared" ca="1" si="144"/>
        <v>2.9074513157383297E-3</v>
      </c>
      <c r="DE126" s="21">
        <f t="shared" ca="1" si="145"/>
        <v>5.7267980461512555E-3</v>
      </c>
      <c r="DF126" s="21">
        <f t="shared" ca="1" si="146"/>
        <v>1.1116725618999497E-2</v>
      </c>
      <c r="DG126" s="21">
        <f t="shared" ca="1" si="147"/>
        <v>2.0998259502554604E-2</v>
      </c>
      <c r="DH126" s="21">
        <f t="shared" ca="1" si="148"/>
        <v>3.7796867104598286E-2</v>
      </c>
      <c r="DI126" s="21">
        <f t="shared" ca="1" si="149"/>
        <v>6.2994778507663815E-2</v>
      </c>
      <c r="DJ126" s="21">
        <f t="shared" ca="1" si="150"/>
        <v>9.4492167761495716E-2</v>
      </c>
      <c r="DL126" s="16" cm="1">
        <f t="array" aca="1" ref="DL126" ca="1">MAX(_xlfn._xlws.FILTER(CW126:DJ126,CW126:DJ126&lt;BU126))</f>
        <v>-2.9074513157383297E-3</v>
      </c>
      <c r="DM126" s="16" cm="1">
        <f t="array" aca="1" ref="DM126" ca="1">MIN(_xlfn._xlws.FILTER(CW126:DJ126,CW126:DJ126&gt;BU126))</f>
        <v>2.9074513157383297E-3</v>
      </c>
      <c r="DN126" s="2" cm="1">
        <f t="array" aca="1" ref="DN126" ca="1">_FV(EC126,"Fechamento anterior",TRUE)</f>
        <v>6.95</v>
      </c>
      <c r="DO126" s="28">
        <f t="shared" ca="1" si="106"/>
        <v>0.5</v>
      </c>
      <c r="DP126" s="15">
        <f t="shared" ca="1" si="151"/>
        <v>6.9297932133556186</v>
      </c>
      <c r="DQ126" s="15">
        <f t="shared" ca="1" si="152"/>
        <v>6.9702067866443818</v>
      </c>
      <c r="DR126" s="9"/>
      <c r="DS126" s="9"/>
      <c r="DT126" s="9"/>
      <c r="DU126" s="89">
        <v>5.8903313311373835E-3</v>
      </c>
      <c r="DV126" s="89">
        <f t="shared" ca="1" si="107"/>
        <v>5.8149026314766594E-3</v>
      </c>
      <c r="DW126" s="72">
        <f t="shared" ca="1" si="108"/>
        <v>0.44186004090526937</v>
      </c>
      <c r="DX126" s="37"/>
      <c r="DY126" s="35">
        <f t="shared" si="118"/>
        <v>0.14710540438746619</v>
      </c>
      <c r="DZ126" s="56"/>
      <c r="EA126" s="56"/>
      <c r="EC126" s="2" t="e" vm="125">
        <v>#VALUE!</v>
      </c>
      <c r="EE126" s="10" cm="1">
        <f t="array" aca="1" ref="EE126" ca="1">_FV(EC126,"Ações em circulação",TRUE)</f>
        <v>200000000</v>
      </c>
      <c r="EF126" s="18">
        <f>VLOOKUP(BP126,Fundamentus!A:U,5,FALSE)</f>
        <v>0.76700000000000002</v>
      </c>
      <c r="EG126" s="2">
        <f t="shared" ca="1" si="109"/>
        <v>1812255541.0691004</v>
      </c>
      <c r="EH126" s="17">
        <v>102392438.07040417</v>
      </c>
      <c r="EI126" s="17">
        <f t="shared" ca="1" si="110"/>
        <v>102392438.07040417</v>
      </c>
      <c r="EK126" s="16">
        <f t="shared" ca="1" si="97"/>
        <v>0</v>
      </c>
      <c r="EL126" s="32" t="str">
        <f>IF(VLOOKUP(BP126,Fundamentus!A:U,3,FALSE)&lt;15,"Bom",IF(VLOOKUP(BP126,Fundamentus!A:U,3,FALSE)&gt;15,"Ruim","n/a"))</f>
        <v>Ruim</v>
      </c>
      <c r="EM126" s="28" t="str">
        <f>IF(VLOOKUP(BP126,Fundamentus!A:U,4,FALSE)&lt;1,"Baixo",IF(VLOOKUP(BP126,Fundamentus!A:U,4,FALSE)&lt;1.5,"Moderado",IF(VLOOKUP(BP126,Fundamentus!A:U,4,FALSE)&gt;1.5,"Alto","n/a")))</f>
        <v>Baixo</v>
      </c>
      <c r="EN126" s="17" t="str">
        <f>IF(VLOOKUP(BP126,Fundamentus!A:U,8,FALSE)&lt;0,"Risco elevado",IF(VLOOKUP(BP126,Fundamentus!A:U,8,FALSE)&lt;1,"Saudável",IF(VLOOKUP(BP126,Fundamentus!A:U,8,FALSE)&lt;3,"Estável",IF(VLOOKUP(BP126,Fundamentus!A:U,8,FALSE)&gt;3,"Alerta","n/a"))))</f>
        <v>Saudável</v>
      </c>
      <c r="EO126" s="28" t="str">
        <f t="shared" si="111"/>
        <v>Ruim</v>
      </c>
      <c r="EP126" s="17" t="str">
        <f>IF(VLOOKUP(BP126,Fundamentus!A:U,12,FALSE)&lt;2,"Subvalorizada",IF(VLOOKUP(BP126,Fundamentus!A:U,12,FALSE)&lt;6,"Muita barata",IF(VLOOKUP(BP126,Fundamentus!A:U,12,FALSE)&lt;6,"Barata",IF(VLOOKUP(BP126,Fundamentus!A:U,12,FALSE)&lt;8,"Atrativa",IF(VLOOKUP(BP126,Fundamentus!A:U,12,FALSE)&gt;8,"Supervalorizada","n/a")))))</f>
        <v>Muita barata</v>
      </c>
      <c r="ER126" s="17" t="str">
        <f>IF(VLOOKUP(BP126,Fundamentus!A:U,17,FALSE)&lt;0.1,"Fraco retorno",IF(VLOOKUP(BP126,Fundamentus!A:U,17,FALSE)&gt;0.1,"Bom retorno","n/a"))</f>
        <v>Fraco retorno</v>
      </c>
      <c r="ES126" s="17" t="str">
        <f>IF(VLOOKUP(BP126,Fundamentus!A:U,16,FALSE)&lt;0.1,"Ineficiente",IF(VLOOKUP(BP126,Fundamentus!A:U,16,FALSE)&gt;0.1,"Eficiente","n/a"))</f>
        <v>Ineficiente</v>
      </c>
      <c r="ET126" s="33" t="str">
        <f>IF(VLOOKUP(BP126,Fundamentus!A:U,16,FALSE)&lt;0.1,"Oper. Ineficiente",IF(VLOOKUP(BP126,Fundamentus!A:U,16,FALSE)&gt;0.1,"Oper.Eficiente","n/a"))</f>
        <v>Oper. Ineficiente</v>
      </c>
      <c r="EU126" s="34">
        <f>VLOOKUP(BP126,Fundamentus!A:U,14,FALSE)</f>
        <v>5.6500000000000002E-2</v>
      </c>
      <c r="EV126" s="17" t="str">
        <f>IF(VLOOKUP(BP126,Fundamentus!A:U,21,FALSE)&lt;0,"Negativo",IF(VLOOKUP(BP126,Fundamentus!A:U,21,FALSE)&lt;0.05,"Fraco",IF(VLOOKUP(BP126,Fundamentus!A:U,21,FALSE)&lt;0.1,"Bom",IF(VLOOKUP(BP126,Fundamentus!A:U,21,FALSE)&gt;0.1,"Muito bom","n/a"))))</f>
        <v>Fraco</v>
      </c>
      <c r="EX126" s="29" t="str">
        <f>IF(VLOOKUP(BP126,Fundamentus!A:U,15,FALSE)&gt;1,"Bom",IF(VLOOKUP(BP126,Fundamentus!A:U,15,FALSE)&lt;1,"Ruim","n/a"))</f>
        <v>Bom</v>
      </c>
      <c r="EY126" s="17" t="str">
        <f>IF(VLOOKUP(BP126,Fundamentus!A:U,20,FALSE)&lt;0.5,"Baixa",IF(VLOOKUP(BP126,Fundamentus!A:U,20,FALSE)&lt;1,"Moderada",IF(VLOOKUP(BP126,Fundamentus!A:U,20,FALSE)&lt;2,"Alerta",IF(VLOOKUP(BP126,Fundamentus!A:U,20,FALSE)&gt;2,"Alta","n/a"))))</f>
        <v>Moderada</v>
      </c>
      <c r="EZ126" s="10"/>
    </row>
    <row r="127" spans="1:156" s="2" customFormat="1" ht="11.25" x14ac:dyDescent="0.2">
      <c r="A127" s="4">
        <v>27.99</v>
      </c>
      <c r="B127" s="4">
        <v>27.89</v>
      </c>
      <c r="C127" s="4">
        <v>28.69</v>
      </c>
      <c r="D127" s="4">
        <v>27.38</v>
      </c>
      <c r="E127" s="4">
        <v>27</v>
      </c>
      <c r="F127" s="4">
        <v>27.31</v>
      </c>
      <c r="G127" s="4">
        <v>27.14</v>
      </c>
      <c r="H127" s="4">
        <v>28.1</v>
      </c>
      <c r="I127" s="4">
        <v>28.01</v>
      </c>
      <c r="J127" s="4">
        <v>28.28</v>
      </c>
      <c r="K127" s="4">
        <v>28.68</v>
      </c>
      <c r="L127" s="4">
        <v>29.36</v>
      </c>
      <c r="M127" s="4">
        <v>29.33</v>
      </c>
      <c r="N127" s="4">
        <v>28.39</v>
      </c>
      <c r="O127" s="4">
        <v>29.64</v>
      </c>
      <c r="P127" s="4">
        <v>31.65</v>
      </c>
      <c r="Q127" s="4">
        <v>31.61</v>
      </c>
      <c r="R127" s="4">
        <v>31.81</v>
      </c>
      <c r="S127" s="4">
        <v>32.369999999999997</v>
      </c>
      <c r="T127" s="4">
        <v>32.340000000000003</v>
      </c>
      <c r="U127" s="4">
        <v>31.26</v>
      </c>
      <c r="V127" s="4">
        <v>31.91</v>
      </c>
      <c r="W127" s="4">
        <v>30.46</v>
      </c>
      <c r="X127" s="4">
        <v>30.17</v>
      </c>
      <c r="Y127" s="4">
        <v>30.13</v>
      </c>
      <c r="Z127" s="4">
        <v>30.51</v>
      </c>
      <c r="AA127" s="4">
        <v>30.03</v>
      </c>
      <c r="AB127" s="4">
        <v>30.43</v>
      </c>
      <c r="AC127" s="4">
        <v>29.88</v>
      </c>
      <c r="AD127" s="4">
        <v>29.5</v>
      </c>
      <c r="AE127" s="4">
        <v>28.52</v>
      </c>
      <c r="AF127" s="4">
        <v>28.91</v>
      </c>
      <c r="AG127" s="4">
        <v>28.21</v>
      </c>
      <c r="AH127" s="4">
        <v>27.06</v>
      </c>
      <c r="AI127" s="4">
        <v>26.95</v>
      </c>
      <c r="AJ127" s="4">
        <v>26.39</v>
      </c>
      <c r="AK127" s="4">
        <v>27.12</v>
      </c>
      <c r="AL127" s="4">
        <v>28.32</v>
      </c>
      <c r="AM127" s="4">
        <v>28.48</v>
      </c>
      <c r="AN127" s="4">
        <v>29.81</v>
      </c>
      <c r="AO127" s="4">
        <v>30</v>
      </c>
      <c r="AP127" s="4">
        <v>31.02</v>
      </c>
      <c r="AQ127" s="4">
        <v>29.1</v>
      </c>
      <c r="AR127" s="4">
        <v>28.56</v>
      </c>
      <c r="AS127" s="4">
        <v>29.2</v>
      </c>
      <c r="AT127" s="4">
        <v>30.46</v>
      </c>
      <c r="AU127" s="4">
        <v>28.395</v>
      </c>
      <c r="AV127" s="4">
        <v>28.09</v>
      </c>
      <c r="AW127" s="4">
        <v>27.61</v>
      </c>
      <c r="AX127" s="4">
        <v>28.15</v>
      </c>
      <c r="AY127" s="12">
        <v>28.67</v>
      </c>
      <c r="AZ127" s="12">
        <v>30.26</v>
      </c>
      <c r="BA127" s="12">
        <v>31.08</v>
      </c>
      <c r="BB127" s="15">
        <v>31.3</v>
      </c>
      <c r="BC127" s="52">
        <v>33.39</v>
      </c>
      <c r="BD127" s="52">
        <v>33.299999999999997</v>
      </c>
      <c r="BE127" s="52">
        <v>33.369999999999997</v>
      </c>
      <c r="BF127" s="52">
        <v>32.51</v>
      </c>
      <c r="BG127" s="67">
        <v>32.229999999999997</v>
      </c>
      <c r="BH127" s="52">
        <v>32.49</v>
      </c>
      <c r="BI127" s="52">
        <v>32.26</v>
      </c>
      <c r="BJ127" s="52">
        <v>33.68</v>
      </c>
      <c r="BK127" s="52">
        <v>31.6</v>
      </c>
      <c r="BL127" s="52">
        <v>31.36</v>
      </c>
      <c r="BM127" s="52">
        <v>31.46</v>
      </c>
      <c r="BN127" s="52">
        <v>31.19</v>
      </c>
      <c r="BO127" s="52" cm="1">
        <f t="array" aca="1" ref="BO127" ca="1">_FV(EC127,"Preço")</f>
        <v>31.19</v>
      </c>
      <c r="BP127" s="69" t="s">
        <v>62</v>
      </c>
      <c r="BQ127" s="36" cm="1">
        <f t="array" aca="1" ref="BQ127" ca="1">_FV(EC127,"Média de volume",TRUE)</f>
        <v>16620300</v>
      </c>
      <c r="BR127" s="36">
        <v>841000</v>
      </c>
      <c r="BS127" s="36" cm="1">
        <f t="array" aca="1" ref="BS127" ca="1">_FV(EC127,"Volume")</f>
        <v>841000</v>
      </c>
      <c r="BT127" s="24" cm="1">
        <f t="array" aca="1" ref="BT127" ca="1">_FV(EC127,"Beta")</f>
        <v>1.2478</v>
      </c>
      <c r="BU127" s="71" cm="1">
        <f t="array" aca="1" ref="BU127" ca="1">_FV(EC127,"Variação (%)",TRUE)</f>
        <v>-3.8329999999999996E-3</v>
      </c>
      <c r="BW127" s="17" cm="1">
        <f t="array" aca="1" ref="BW127" ca="1">_FV(EC127,"Baixo")</f>
        <v>31.06</v>
      </c>
      <c r="BX127" s="17" cm="1">
        <f t="array" aca="1" ref="BX127" ca="1">_FV(EC127,"Alto")</f>
        <v>31.71</v>
      </c>
      <c r="BY127" s="24"/>
      <c r="BZ127" s="63">
        <f ca="1">SQRT(22.5*(BO127/VLOOKUP(BP127,Fundamentus!A:U,3,FALSE))*(BO127/VLOOKUP(BP127,Fundamentus!A:U,4,FALSE)))</f>
        <v>37.701651471392715</v>
      </c>
      <c r="CB127" s="62">
        <f t="shared" ca="1" si="112"/>
        <v>0</v>
      </c>
      <c r="CC127" s="8"/>
      <c r="CD127" s="61">
        <f t="shared" si="113"/>
        <v>26.39</v>
      </c>
      <c r="CE127" s="61">
        <f t="shared" si="114"/>
        <v>33.68</v>
      </c>
      <c r="CF127" s="61">
        <f t="shared" si="115"/>
        <v>29.814469696969685</v>
      </c>
      <c r="CG127" s="14"/>
      <c r="CH127" s="35">
        <f t="shared" si="98"/>
        <v>29.278504955206238</v>
      </c>
      <c r="CI127" s="15">
        <f t="shared" si="116"/>
        <v>31.120000000000005</v>
      </c>
      <c r="CJ127" s="35">
        <f t="shared" si="99"/>
        <v>32.961495044793772</v>
      </c>
      <c r="CL127" s="14"/>
      <c r="CM127" s="17">
        <f t="shared" si="100"/>
        <v>19.870000000000005</v>
      </c>
      <c r="CN127" s="17">
        <f t="shared" si="101"/>
        <v>23.130000000000003</v>
      </c>
      <c r="CO127" s="17">
        <f t="shared" si="102"/>
        <v>27.160000000000004</v>
      </c>
      <c r="CP127" s="38">
        <f t="shared" si="117"/>
        <v>30.42</v>
      </c>
      <c r="CQ127" s="17">
        <f t="shared" si="103"/>
        <v>34.450000000000003</v>
      </c>
      <c r="CR127" s="17">
        <f t="shared" si="104"/>
        <v>37.71</v>
      </c>
      <c r="CS127" s="17">
        <f t="shared" si="105"/>
        <v>41.74</v>
      </c>
      <c r="CT127" s="2" cm="1">
        <f t="array" aca="1" ref="CT127" ca="1">MAX(_xlfn._xlws.FILTER(CM127:CS127,CM127:CS127&lt;BO127))</f>
        <v>30.42</v>
      </c>
      <c r="CU127" s="2" cm="1">
        <f t="array" aca="1" ref="CU127" ca="1">MIN(_xlfn._xlws.FILTER($CM127:$CS127,$CM127:$CS127&gt;BO127))</f>
        <v>34.450000000000003</v>
      </c>
      <c r="CV127" s="16">
        <f t="shared" ca="1" si="136"/>
        <v>0.13247863247863245</v>
      </c>
      <c r="CW127" s="20">
        <f t="shared" ca="1" si="137"/>
        <v>-6.6239316239316226E-2</v>
      </c>
      <c r="CX127" s="20">
        <f t="shared" ca="1" si="138"/>
        <v>-4.4159544159544151E-2</v>
      </c>
      <c r="CY127" s="20">
        <f t="shared" ca="1" si="139"/>
        <v>-2.6495726495726492E-2</v>
      </c>
      <c r="CZ127" s="20">
        <f t="shared" ca="1" si="140"/>
        <v>-1.4719848053181384E-2</v>
      </c>
      <c r="DA127" s="20">
        <f t="shared" ca="1" si="141"/>
        <v>-7.792860734037203E-3</v>
      </c>
      <c r="DB127" s="20">
        <f t="shared" ca="1" si="142"/>
        <v>-4.0145040145040138E-3</v>
      </c>
      <c r="DC127" s="20">
        <f t="shared" ca="1" si="143"/>
        <v>-2.0381328073635764E-3</v>
      </c>
      <c r="DD127" s="21">
        <f t="shared" ca="1" si="144"/>
        <v>2.0381328073635764E-3</v>
      </c>
      <c r="DE127" s="21">
        <f t="shared" ca="1" si="145"/>
        <v>4.0145040145040138E-3</v>
      </c>
      <c r="DF127" s="21">
        <f t="shared" ca="1" si="146"/>
        <v>7.792860734037203E-3</v>
      </c>
      <c r="DG127" s="21">
        <f t="shared" ca="1" si="147"/>
        <v>1.4719848053181384E-2</v>
      </c>
      <c r="DH127" s="21">
        <f t="shared" ca="1" si="148"/>
        <v>2.6495726495726492E-2</v>
      </c>
      <c r="DI127" s="21">
        <f t="shared" ca="1" si="149"/>
        <v>4.4159544159544151E-2</v>
      </c>
      <c r="DJ127" s="21">
        <f t="shared" ca="1" si="150"/>
        <v>6.6239316239316226E-2</v>
      </c>
      <c r="DL127" s="16" cm="1">
        <f t="array" aca="1" ref="DL127" ca="1">MAX(_xlfn._xlws.FILTER(CW127:DJ127,CW127:DJ127&lt;BU127))</f>
        <v>-4.0145040145040138E-3</v>
      </c>
      <c r="DM127" s="16" cm="1">
        <f t="array" aca="1" ref="DM127" ca="1">MIN(_xlfn._xlws.FILTER(CW127:DJ127,CW127:DJ127&gt;BU127))</f>
        <v>-2.0381328073635764E-3</v>
      </c>
      <c r="DN127" s="2" cm="1">
        <f t="array" aca="1" ref="DN127" ca="1">_FV(EC127,"Fechamento anterior",TRUE)</f>
        <v>31.31</v>
      </c>
      <c r="DO127" s="28">
        <f t="shared" ca="1" si="106"/>
        <v>9.2018485797631597E-2</v>
      </c>
      <c r="DP127" s="15">
        <f t="shared" ca="1" si="151"/>
        <v>31.184305879305878</v>
      </c>
      <c r="DQ127" s="15">
        <f t="shared" ca="1" si="152"/>
        <v>31.246186061801446</v>
      </c>
      <c r="DR127" s="9"/>
      <c r="DS127" s="9"/>
      <c r="DT127" s="9"/>
      <c r="DU127" s="89">
        <v>3.8243609217224576E-3</v>
      </c>
      <c r="DV127" s="89">
        <f t="shared" ca="1" si="107"/>
        <v>1.9763712071404374E-3</v>
      </c>
      <c r="DW127" s="72">
        <f t="shared" ca="1" si="108"/>
        <v>3.801259210438776E-2</v>
      </c>
      <c r="DX127" s="37"/>
      <c r="DY127" s="35">
        <f t="shared" si="118"/>
        <v>0.9207475223968834</v>
      </c>
      <c r="DZ127" s="56"/>
      <c r="EA127" s="56"/>
      <c r="EC127" s="2" t="e" vm="126">
        <v>#VALUE!</v>
      </c>
      <c r="EE127" s="10" cm="1">
        <f t="array" aca="1" ref="EE127" ca="1">_FV(EC127,"Ações em circulação",TRUE)</f>
        <v>10784550000</v>
      </c>
      <c r="EF127" s="18">
        <f>VLOOKUP(BP127,Fundamentus!A:U,5,FALSE)</f>
        <v>0</v>
      </c>
      <c r="EG127" s="2" t="e">
        <f t="shared" ca="1" si="109"/>
        <v>#DIV/0!</v>
      </c>
      <c r="EH127" s="17" t="e">
        <v>#DIV/0!</v>
      </c>
      <c r="EI127" s="17" t="e">
        <f t="shared" ca="1" si="110"/>
        <v>#DIV/0!</v>
      </c>
      <c r="EK127" s="16" t="e">
        <f t="shared" ca="1" si="97"/>
        <v>#DIV/0!</v>
      </c>
      <c r="EL127" s="32" t="str">
        <f>IF(VLOOKUP(BP127,Fundamentus!A:U,3,FALSE)&lt;15,"Bom",IF(VLOOKUP(BP127,Fundamentus!A:U,3,FALSE)&gt;15,"Ruim","n/a"))</f>
        <v>Bom</v>
      </c>
      <c r="EM127" s="28" t="str">
        <f>IF(VLOOKUP(BP127,Fundamentus!A:U,4,FALSE)&lt;1,"Baixo",IF(VLOOKUP(BP127,Fundamentus!A:U,4,FALSE)&lt;1.5,"Moderado",IF(VLOOKUP(BP127,Fundamentus!A:U,4,FALSE)&gt;1.5,"Alto","n/a")))</f>
        <v>Alto</v>
      </c>
      <c r="EN127" s="17" t="str">
        <f>IF(VLOOKUP(BP127,Fundamentus!A:U,8,FALSE)&lt;0,"Risco elevado",IF(VLOOKUP(BP127,Fundamentus!A:U,8,FALSE)&lt;1,"Saudável",IF(VLOOKUP(BP127,Fundamentus!A:U,8,FALSE)&lt;3,"Estável",IF(VLOOKUP(BP127,Fundamentus!A:U,8,FALSE)&gt;3,"Alerta","n/a"))))</f>
        <v>Saudável</v>
      </c>
      <c r="EO127" s="28" t="str">
        <f t="shared" si="111"/>
        <v>Ruim</v>
      </c>
      <c r="EP127" s="17" t="str">
        <f>IF(VLOOKUP(BP127,Fundamentus!A:U,12,FALSE)&lt;2,"Subvalorizada",IF(VLOOKUP(BP127,Fundamentus!A:U,12,FALSE)&lt;6,"Muita barata",IF(VLOOKUP(BP127,Fundamentus!A:U,12,FALSE)&lt;6,"Barata",IF(VLOOKUP(BP127,Fundamentus!A:U,12,FALSE)&lt;8,"Atrativa",IF(VLOOKUP(BP127,Fundamentus!A:U,12,FALSE)&gt;8,"Supervalorizada","n/a")))))</f>
        <v>Subvalorizada</v>
      </c>
      <c r="ER127" s="17" t="str">
        <f>IF(VLOOKUP(BP127,Fundamentus!A:U,17,FALSE)&lt;0.1,"Fraco retorno",IF(VLOOKUP(BP127,Fundamentus!A:U,17,FALSE)&gt;0.1,"Bom retorno","n/a"))</f>
        <v>Bom retorno</v>
      </c>
      <c r="ES127" s="17" t="str">
        <f>IF(VLOOKUP(BP127,Fundamentus!A:U,16,FALSE)&lt;0.1,"Ineficiente",IF(VLOOKUP(BP127,Fundamentus!A:U,16,FALSE)&gt;0.1,"Eficiente","n/a"))</f>
        <v>Ineficiente</v>
      </c>
      <c r="ET127" s="33" t="str">
        <f>IF(VLOOKUP(BP127,Fundamentus!A:U,16,FALSE)&lt;0.1,"Oper. Ineficiente",IF(VLOOKUP(BP127,Fundamentus!A:U,16,FALSE)&gt;0.1,"Oper.Eficiente","n/a"))</f>
        <v>Oper. Ineficiente</v>
      </c>
      <c r="EU127" s="34">
        <f>VLOOKUP(BP127,Fundamentus!A:U,14,FALSE)</f>
        <v>0</v>
      </c>
      <c r="EV127" s="17" t="str">
        <f>IF(VLOOKUP(BP127,Fundamentus!A:U,21,FALSE)&lt;0,"Negativo",IF(VLOOKUP(BP127,Fundamentus!A:U,21,FALSE)&lt;0.05,"Fraco",IF(VLOOKUP(BP127,Fundamentus!A:U,21,FALSE)&lt;0.1,"Bom",IF(VLOOKUP(BP127,Fundamentus!A:U,21,FALSE)&gt;0.1,"Muito bom","n/a"))))</f>
        <v>Muito bom</v>
      </c>
      <c r="EX127" s="29" t="str">
        <f>IF(VLOOKUP(BP127,Fundamentus!A:U,15,FALSE)&gt;1,"Bom",IF(VLOOKUP(BP127,Fundamentus!A:U,15,FALSE)&lt;1,"Ruim","n/a"))</f>
        <v>Ruim</v>
      </c>
      <c r="EY127" s="17" t="str">
        <f>IF(VLOOKUP(BP127,Fundamentus!A:U,20,FALSE)&lt;0.5,"Baixa",IF(VLOOKUP(BP127,Fundamentus!A:U,20,FALSE)&lt;1,"Moderada",IF(VLOOKUP(BP127,Fundamentus!A:U,20,FALSE)&lt;2,"Alerta",IF(VLOOKUP(BP127,Fundamentus!A:U,20,FALSE)&gt;2,"Alta","n/a"))))</f>
        <v>Baixa</v>
      </c>
      <c r="EZ127" s="10"/>
    </row>
    <row r="128" spans="1:156" s="2" customFormat="1" ht="11.25" x14ac:dyDescent="0.2">
      <c r="A128" s="4">
        <v>2.44</v>
      </c>
      <c r="B128" s="4">
        <v>2.4700000000000002</v>
      </c>
      <c r="C128" s="4">
        <v>2.38</v>
      </c>
      <c r="D128" s="4">
        <v>2.33</v>
      </c>
      <c r="E128" s="4">
        <v>2.27</v>
      </c>
      <c r="F128" s="4">
        <v>2.17</v>
      </c>
      <c r="G128" s="4">
        <v>2.16</v>
      </c>
      <c r="H128" s="4">
        <v>2.13</v>
      </c>
      <c r="I128" s="4">
        <v>2.15</v>
      </c>
      <c r="J128" s="4">
        <v>2.21</v>
      </c>
      <c r="K128" s="4">
        <v>2.38</v>
      </c>
      <c r="L128" s="4">
        <v>2.27</v>
      </c>
      <c r="M128" s="4">
        <v>2.31</v>
      </c>
      <c r="N128" s="4">
        <v>2.2400000000000002</v>
      </c>
      <c r="O128" s="4">
        <v>2.2200000000000002</v>
      </c>
      <c r="P128" s="4">
        <v>2.29</v>
      </c>
      <c r="Q128" s="4">
        <v>2.2400000000000002</v>
      </c>
      <c r="R128" s="4">
        <v>2.3199999999999998</v>
      </c>
      <c r="S128" s="4">
        <v>2.2200000000000002</v>
      </c>
      <c r="T128" s="4">
        <v>2.25</v>
      </c>
      <c r="U128" s="4">
        <v>2.19</v>
      </c>
      <c r="V128" s="4">
        <v>2.17</v>
      </c>
      <c r="W128" s="4">
        <v>2.17</v>
      </c>
      <c r="X128" s="4">
        <v>2.13</v>
      </c>
      <c r="Y128" s="4">
        <v>2.14</v>
      </c>
      <c r="Z128" s="4">
        <v>2.1800000000000002</v>
      </c>
      <c r="AA128" s="4">
        <v>2.13</v>
      </c>
      <c r="AB128" s="4">
        <v>2.17</v>
      </c>
      <c r="AC128" s="4">
        <v>2.15</v>
      </c>
      <c r="AD128" s="4">
        <v>2.1</v>
      </c>
      <c r="AE128" s="4">
        <v>2.08</v>
      </c>
      <c r="AF128" s="4">
        <v>2</v>
      </c>
      <c r="AG128" s="4">
        <v>1.89</v>
      </c>
      <c r="AH128" s="4">
        <v>1.79</v>
      </c>
      <c r="AI128" s="4">
        <v>1.8</v>
      </c>
      <c r="AJ128" s="4">
        <v>1.81</v>
      </c>
      <c r="AK128" s="4">
        <v>1.79</v>
      </c>
      <c r="AL128" s="4">
        <v>1.86</v>
      </c>
      <c r="AM128" s="4">
        <v>1.77</v>
      </c>
      <c r="AN128" s="4">
        <v>1.56</v>
      </c>
      <c r="AO128" s="4">
        <v>1.47</v>
      </c>
      <c r="AP128" s="4">
        <v>1.44</v>
      </c>
      <c r="AQ128" s="4">
        <v>1.41</v>
      </c>
      <c r="AR128" s="4">
        <v>1.44</v>
      </c>
      <c r="AS128" s="4">
        <v>1.46</v>
      </c>
      <c r="AT128" s="4">
        <v>1.54</v>
      </c>
      <c r="AU128" s="4">
        <v>1.5049999999999999</v>
      </c>
      <c r="AV128" s="4">
        <v>1.47</v>
      </c>
      <c r="AW128" s="4">
        <v>1.47</v>
      </c>
      <c r="AX128" s="4">
        <v>1.53</v>
      </c>
      <c r="AY128" s="12">
        <v>1.62</v>
      </c>
      <c r="AZ128" s="12">
        <v>1.58</v>
      </c>
      <c r="BA128" s="12">
        <v>1.68</v>
      </c>
      <c r="BB128" s="15">
        <v>1.68</v>
      </c>
      <c r="BC128" s="52">
        <v>1.47</v>
      </c>
      <c r="BD128" s="52">
        <v>1.5</v>
      </c>
      <c r="BE128" s="52">
        <v>1.55</v>
      </c>
      <c r="BF128" s="52">
        <v>1.53</v>
      </c>
      <c r="BG128" s="67">
        <v>1.5</v>
      </c>
      <c r="BH128" s="52">
        <v>1.49</v>
      </c>
      <c r="BI128" s="52">
        <v>1.42</v>
      </c>
      <c r="BJ128" s="52">
        <v>1.45</v>
      </c>
      <c r="BK128" s="52">
        <v>1.41</v>
      </c>
      <c r="BL128" s="52">
        <v>1.4</v>
      </c>
      <c r="BM128" s="52">
        <v>1.37</v>
      </c>
      <c r="BN128" s="52">
        <v>1.4</v>
      </c>
      <c r="BO128" s="52" cm="1">
        <f t="array" aca="1" ref="BO128" ca="1">_FV(EC128,"Preço")</f>
        <v>1.4</v>
      </c>
      <c r="BP128" s="69" t="s">
        <v>124</v>
      </c>
      <c r="BQ128" s="36" cm="1">
        <f t="array" aca="1" ref="BQ128" ca="1">_FV(EC128,"Média de volume",TRUE)</f>
        <v>21120</v>
      </c>
      <c r="BR128" s="36">
        <v>4400</v>
      </c>
      <c r="BS128" s="36" cm="1">
        <f t="array" aca="1" ref="BS128" ca="1">_FV(EC128,"Volume")</f>
        <v>4400</v>
      </c>
      <c r="BT128" s="24" cm="1">
        <f t="array" aca="1" ref="BT128" ca="1">_FV(EC128,"Beta")</f>
        <v>0.42880000000000001</v>
      </c>
      <c r="BU128" s="71" cm="1">
        <f t="array" aca="1" ref="BU128" ca="1">_FV(EC128,"Variação (%)",TRUE)</f>
        <v>-7.0920000000000002E-3</v>
      </c>
      <c r="BW128" s="17" cm="1">
        <f t="array" aca="1" ref="BW128" ca="1">_FV(EC128,"Baixo")</f>
        <v>1.39</v>
      </c>
      <c r="BX128" s="17" cm="1">
        <f t="array" aca="1" ref="BX128" ca="1">_FV(EC128,"Alto")</f>
        <v>1.42</v>
      </c>
      <c r="BY128" s="24"/>
      <c r="BZ128" s="63">
        <f ca="1">SQRT(22.5*(BO128/VLOOKUP(BP128,Fundamentus!A:U,3,FALSE))*(BO128/VLOOKUP(BP128,Fundamentus!A:U,4,FALSE)))</f>
        <v>2.0063796015289106</v>
      </c>
      <c r="CB128" s="62">
        <f t="shared" ca="1" si="112"/>
        <v>0</v>
      </c>
      <c r="CC128" s="8"/>
      <c r="CD128" s="61">
        <f t="shared" si="113"/>
        <v>1.37</v>
      </c>
      <c r="CE128" s="61">
        <f t="shared" si="114"/>
        <v>2.4700000000000002</v>
      </c>
      <c r="CF128" s="61">
        <f t="shared" si="115"/>
        <v>1.8805303030303033</v>
      </c>
      <c r="CG128" s="14"/>
      <c r="CH128" s="35">
        <f t="shared" si="98"/>
        <v>1.328463605093102</v>
      </c>
      <c r="CI128" s="15">
        <f t="shared" si="116"/>
        <v>1.3800000000000026</v>
      </c>
      <c r="CJ128" s="35">
        <f t="shared" si="99"/>
        <v>1.4315363949069031</v>
      </c>
      <c r="CL128" s="14"/>
      <c r="CM128" s="17">
        <f t="shared" si="100"/>
        <v>-7.6666666666666661E-2</v>
      </c>
      <c r="CN128" s="17">
        <f t="shared" si="101"/>
        <v>0.64666666666666672</v>
      </c>
      <c r="CO128" s="17">
        <f t="shared" si="102"/>
        <v>1.0233333333333334</v>
      </c>
      <c r="CP128" s="38">
        <f t="shared" si="117"/>
        <v>1.7466666666666668</v>
      </c>
      <c r="CQ128" s="17">
        <f t="shared" si="103"/>
        <v>2.1233333333333335</v>
      </c>
      <c r="CR128" s="17">
        <f t="shared" si="104"/>
        <v>2.8466666666666667</v>
      </c>
      <c r="CS128" s="17">
        <f t="shared" si="105"/>
        <v>3.2233333333333336</v>
      </c>
      <c r="CT128" s="2" cm="1">
        <f t="array" aca="1" ref="CT128" ca="1">MAX(_xlfn._xlws.FILTER(CM128:CS128,CM128:CS128&lt;BO128))</f>
        <v>1.0233333333333334</v>
      </c>
      <c r="CU128" s="2" cm="1">
        <f t="array" aca="1" ref="CU128" ca="1">MIN(_xlfn._xlws.FILTER($CM128:$CS128,$CM128:$CS128&gt;BO128))</f>
        <v>1.7466666666666668</v>
      </c>
      <c r="CV128" s="16">
        <f t="shared" ca="1" si="136"/>
        <v>0.70684039087947892</v>
      </c>
      <c r="CW128" s="20">
        <f t="shared" ca="1" si="137"/>
        <v>-0.35342019543973946</v>
      </c>
      <c r="CX128" s="20">
        <f t="shared" ca="1" si="138"/>
        <v>-0.23561346362649296</v>
      </c>
      <c r="CY128" s="20">
        <f t="shared" ca="1" si="139"/>
        <v>-0.14136807817589578</v>
      </c>
      <c r="CZ128" s="20">
        <f t="shared" ca="1" si="140"/>
        <v>-7.8537821208830988E-2</v>
      </c>
      <c r="DA128" s="20">
        <f t="shared" ca="1" si="141"/>
        <v>-4.1578846522322292E-2</v>
      </c>
      <c r="DB128" s="20">
        <f t="shared" ca="1" si="142"/>
        <v>-2.1419405784226634E-2</v>
      </c>
      <c r="DC128" s="20">
        <f t="shared" ca="1" si="143"/>
        <v>-1.0874467551991984E-2</v>
      </c>
      <c r="DD128" s="21">
        <f t="shared" ca="1" si="144"/>
        <v>1.0874467551991984E-2</v>
      </c>
      <c r="DE128" s="21">
        <f t="shared" ca="1" si="145"/>
        <v>2.1419405784226634E-2</v>
      </c>
      <c r="DF128" s="21">
        <f t="shared" ca="1" si="146"/>
        <v>4.1578846522322292E-2</v>
      </c>
      <c r="DG128" s="21">
        <f t="shared" ca="1" si="147"/>
        <v>7.8537821208830988E-2</v>
      </c>
      <c r="DH128" s="21">
        <f t="shared" ca="1" si="148"/>
        <v>0.14136807817589578</v>
      </c>
      <c r="DI128" s="21">
        <f t="shared" ca="1" si="149"/>
        <v>0.23561346362649296</v>
      </c>
      <c r="DJ128" s="21">
        <f t="shared" ca="1" si="150"/>
        <v>0.35342019543973946</v>
      </c>
      <c r="DL128" s="16" cm="1">
        <f t="array" aca="1" ref="DL128" ca="1">MAX(_xlfn._xlws.FILTER(CW128:DJ128,CW128:DJ128&lt;BU128))</f>
        <v>-1.0874467551991984E-2</v>
      </c>
      <c r="DM128" s="16" cm="1">
        <f t="array" aca="1" ref="DM128" ca="1">MIN(_xlfn._xlws.FILTER(CW128:DJ128,CW128:DJ128&gt;BU128))</f>
        <v>1.0874467551991984E-2</v>
      </c>
      <c r="DN128" s="2" cm="1">
        <f t="array" aca="1" ref="DN128" ca="1">_FV(EC128,"Fechamento anterior",TRUE)</f>
        <v>1.41</v>
      </c>
      <c r="DO128" s="28">
        <f t="shared" ca="1" si="106"/>
        <v>0.1739059384907008</v>
      </c>
      <c r="DP128" s="15">
        <f t="shared" ca="1" si="151"/>
        <v>1.3946670007516913</v>
      </c>
      <c r="DQ128" s="15">
        <f t="shared" ca="1" si="152"/>
        <v>1.4253329992483086</v>
      </c>
      <c r="DR128" s="9"/>
      <c r="DS128" s="9"/>
      <c r="DT128" s="9"/>
      <c r="DU128" s="89">
        <v>2.0159440738095658E-2</v>
      </c>
      <c r="DV128" s="89">
        <f t="shared" ca="1" si="107"/>
        <v>2.1748935103983968E-2</v>
      </c>
      <c r="DW128" s="72">
        <f t="shared" ca="1" si="108"/>
        <v>0.38807526285311478</v>
      </c>
      <c r="DX128" s="37"/>
      <c r="DY128" s="35">
        <f t="shared" si="118"/>
        <v>2.5768197453450215E-2</v>
      </c>
      <c r="DZ128" s="56"/>
      <c r="EA128" s="56"/>
      <c r="EC128" s="2" t="e" vm="127">
        <v>#VALUE!</v>
      </c>
      <c r="EE128" s="10" cm="1">
        <f t="array" aca="1" ref="EE128" ca="1">_FV(EC128,"Ações em circulação",TRUE)</f>
        <v>66086360</v>
      </c>
      <c r="EF128" s="18">
        <f>VLOOKUP(BP128,Fundamentus!A:U,5,FALSE)</f>
        <v>0.41599999999999998</v>
      </c>
      <c r="EG128" s="2">
        <f t="shared" ca="1" si="109"/>
        <v>222406019.23076925</v>
      </c>
      <c r="EH128" s="17">
        <v>4225714.365384616</v>
      </c>
      <c r="EI128" s="17">
        <f t="shared" ca="1" si="110"/>
        <v>4225714.365384616</v>
      </c>
      <c r="EK128" s="16">
        <f t="shared" ca="1" si="97"/>
        <v>0</v>
      </c>
      <c r="EL128" s="32" t="str">
        <f>IF(VLOOKUP(BP128,Fundamentus!A:U,3,FALSE)&lt;15,"Bom",IF(VLOOKUP(BP128,Fundamentus!A:U,3,FALSE)&gt;15,"Ruim","n/a"))</f>
        <v>Ruim</v>
      </c>
      <c r="EM128" s="28" t="str">
        <f>IF(VLOOKUP(BP128,Fundamentus!A:U,4,FALSE)&lt;1,"Baixo",IF(VLOOKUP(BP128,Fundamentus!A:U,4,FALSE)&lt;1.5,"Moderado",IF(VLOOKUP(BP128,Fundamentus!A:U,4,FALSE)&gt;1.5,"Alto","n/a")))</f>
        <v>Baixo</v>
      </c>
      <c r="EN128" s="17" t="str">
        <f>IF(VLOOKUP(BP128,Fundamentus!A:U,8,FALSE)&lt;0,"Risco elevado",IF(VLOOKUP(BP128,Fundamentus!A:U,8,FALSE)&lt;1,"Saudável",IF(VLOOKUP(BP128,Fundamentus!A:U,8,FALSE)&lt;3,"Estável",IF(VLOOKUP(BP128,Fundamentus!A:U,8,FALSE)&gt;3,"Alerta","n/a"))))</f>
        <v>Alerta</v>
      </c>
      <c r="EO128" s="28" t="str">
        <f t="shared" si="111"/>
        <v>Ruim</v>
      </c>
      <c r="EP128" s="17" t="str">
        <f>IF(VLOOKUP(BP128,Fundamentus!A:U,12,FALSE)&lt;2,"Subvalorizada",IF(VLOOKUP(BP128,Fundamentus!A:U,12,FALSE)&lt;6,"Muita barata",IF(VLOOKUP(BP128,Fundamentus!A:U,12,FALSE)&lt;6,"Barata",IF(VLOOKUP(BP128,Fundamentus!A:U,12,FALSE)&lt;8,"Atrativa",IF(VLOOKUP(BP128,Fundamentus!A:U,12,FALSE)&gt;8,"Supervalorizada","n/a")))))</f>
        <v>Supervalorizada</v>
      </c>
      <c r="ER128" s="17" t="str">
        <f>IF(VLOOKUP(BP128,Fundamentus!A:U,17,FALSE)&lt;0.1,"Fraco retorno",IF(VLOOKUP(BP128,Fundamentus!A:U,17,FALSE)&gt;0.1,"Bom retorno","n/a"))</f>
        <v>Fraco retorno</v>
      </c>
      <c r="ES128" s="17" t="str">
        <f>IF(VLOOKUP(BP128,Fundamentus!A:U,16,FALSE)&lt;0.1,"Ineficiente",IF(VLOOKUP(BP128,Fundamentus!A:U,16,FALSE)&gt;0.1,"Eficiente","n/a"))</f>
        <v>Ineficiente</v>
      </c>
      <c r="ET128" s="33" t="str">
        <f>IF(VLOOKUP(BP128,Fundamentus!A:U,16,FALSE)&lt;0.1,"Oper. Ineficiente",IF(VLOOKUP(BP128,Fundamentus!A:U,16,FALSE)&gt;0.1,"Oper.Eficiente","n/a"))</f>
        <v>Oper. Ineficiente</v>
      </c>
      <c r="EU128" s="34">
        <f>VLOOKUP(BP128,Fundamentus!A:U,14,FALSE)</f>
        <v>1.9E-2</v>
      </c>
      <c r="EV128" s="17" t="str">
        <f>IF(VLOOKUP(BP128,Fundamentus!A:U,21,FALSE)&lt;0,"Negativo",IF(VLOOKUP(BP128,Fundamentus!A:U,21,FALSE)&lt;0.05,"Fraco",IF(VLOOKUP(BP128,Fundamentus!A:U,21,FALSE)&lt;0.1,"Bom",IF(VLOOKUP(BP128,Fundamentus!A:U,21,FALSE)&gt;0.1,"Muito bom","n/a"))))</f>
        <v>Bom</v>
      </c>
      <c r="EX128" s="29" t="str">
        <f>IF(VLOOKUP(BP128,Fundamentus!A:U,15,FALSE)&gt;1,"Bom",IF(VLOOKUP(BP128,Fundamentus!A:U,15,FALSE)&lt;1,"Ruim","n/a"))</f>
        <v>Bom</v>
      </c>
      <c r="EY128" s="17" t="str">
        <f>IF(VLOOKUP(BP128,Fundamentus!A:U,20,FALSE)&lt;0.5,"Baixa",IF(VLOOKUP(BP128,Fundamentus!A:U,20,FALSE)&lt;1,"Moderada",IF(VLOOKUP(BP128,Fundamentus!A:U,20,FALSE)&lt;2,"Alerta",IF(VLOOKUP(BP128,Fundamentus!A:U,20,FALSE)&gt;2,"Alta","n/a"))))</f>
        <v>Moderada</v>
      </c>
      <c r="EZ128" s="10"/>
    </row>
    <row r="129" spans="1:156" s="2" customFormat="1" ht="11.25" x14ac:dyDescent="0.2">
      <c r="A129" s="4">
        <v>8</v>
      </c>
      <c r="B129" s="4">
        <v>8</v>
      </c>
      <c r="C129" s="4">
        <v>7.96</v>
      </c>
      <c r="D129" s="4">
        <v>7.92</v>
      </c>
      <c r="E129" s="4">
        <v>7.57</v>
      </c>
      <c r="F129" s="4">
        <v>7.18</v>
      </c>
      <c r="G129" s="4">
        <v>7.18</v>
      </c>
      <c r="H129" s="4">
        <v>7.54</v>
      </c>
      <c r="I129" s="4">
        <v>7.85</v>
      </c>
      <c r="J129" s="4">
        <v>7.99</v>
      </c>
      <c r="K129" s="4">
        <v>8.06</v>
      </c>
      <c r="L129" s="4">
        <v>8.5299999999999994</v>
      </c>
      <c r="M129" s="4">
        <v>6.33</v>
      </c>
      <c r="N129" s="4">
        <v>5.94</v>
      </c>
      <c r="O129" s="4">
        <v>5.95</v>
      </c>
      <c r="P129" s="4">
        <v>6.1</v>
      </c>
      <c r="Q129" s="4">
        <v>6.58</v>
      </c>
      <c r="R129" s="4">
        <v>6.23</v>
      </c>
      <c r="S129" s="4">
        <v>5.99</v>
      </c>
      <c r="T129" s="4">
        <v>6.17</v>
      </c>
      <c r="U129" s="4">
        <v>5.88</v>
      </c>
      <c r="V129" s="4">
        <v>6.24</v>
      </c>
      <c r="W129" s="4">
        <v>6.21</v>
      </c>
      <c r="X129" s="4">
        <v>6.25</v>
      </c>
      <c r="Y129" s="4">
        <v>6.15</v>
      </c>
      <c r="Z129" s="4">
        <v>6.64</v>
      </c>
      <c r="AA129" s="4">
        <v>6.32</v>
      </c>
      <c r="AB129" s="4">
        <v>6.26</v>
      </c>
      <c r="AC129" s="4">
        <v>6.1</v>
      </c>
      <c r="AD129" s="4">
        <v>6.18</v>
      </c>
      <c r="AE129" s="4">
        <v>6.15</v>
      </c>
      <c r="AF129" s="4">
        <v>5.98</v>
      </c>
      <c r="AG129" s="4">
        <v>5.86</v>
      </c>
      <c r="AH129" s="4">
        <v>5.24</v>
      </c>
      <c r="AI129" s="4">
        <v>5.29</v>
      </c>
      <c r="AJ129" s="4">
        <v>4.8499999999999996</v>
      </c>
      <c r="AK129" s="4">
        <v>4.76</v>
      </c>
      <c r="AL129" s="4">
        <v>5.01</v>
      </c>
      <c r="AM129" s="4">
        <v>5.23</v>
      </c>
      <c r="AN129" s="4">
        <v>5.51</v>
      </c>
      <c r="AO129" s="4">
        <v>5.6</v>
      </c>
      <c r="AP129" s="4">
        <v>5.98</v>
      </c>
      <c r="AQ129" s="4">
        <v>5.98</v>
      </c>
      <c r="AR129" s="4">
        <v>5.71</v>
      </c>
      <c r="AS129" s="4">
        <v>6.02</v>
      </c>
      <c r="AT129" s="4">
        <v>5.88</v>
      </c>
      <c r="AU129" s="4">
        <v>5.85</v>
      </c>
      <c r="AV129" s="4">
        <v>5.72</v>
      </c>
      <c r="AW129" s="4">
        <v>5.35</v>
      </c>
      <c r="AX129" s="4">
        <v>5.42</v>
      </c>
      <c r="AY129" s="12">
        <v>5.67</v>
      </c>
      <c r="AZ129" s="12">
        <v>5.73</v>
      </c>
      <c r="BA129" s="12">
        <v>5.53</v>
      </c>
      <c r="BB129" s="15">
        <v>5.6</v>
      </c>
      <c r="BC129" s="52">
        <v>5.55</v>
      </c>
      <c r="BD129" s="52">
        <v>5.33</v>
      </c>
      <c r="BE129" s="52">
        <v>5.2</v>
      </c>
      <c r="BF129" s="52">
        <v>5.18</v>
      </c>
      <c r="BG129" s="67">
        <v>4.7699999999999996</v>
      </c>
      <c r="BH129" s="52">
        <v>4.4000000000000004</v>
      </c>
      <c r="BI129" s="52">
        <v>4.1500000000000004</v>
      </c>
      <c r="BJ129" s="52">
        <v>4.47</v>
      </c>
      <c r="BK129" s="52">
        <v>4.29</v>
      </c>
      <c r="BL129" s="52">
        <v>3.92</v>
      </c>
      <c r="BM129" s="52">
        <v>4.2</v>
      </c>
      <c r="BN129" s="52">
        <v>4.3899999999999997</v>
      </c>
      <c r="BO129" s="52" cm="1">
        <f t="array" aca="1" ref="BO129" ca="1">_FV(EC129,"Preço")</f>
        <v>4.3899999999999997</v>
      </c>
      <c r="BP129" s="69" t="s">
        <v>125</v>
      </c>
      <c r="BQ129" s="36" cm="1">
        <f t="array" aca="1" ref="BQ129" ca="1">_FV(EC129,"Média de volume",TRUE)</f>
        <v>19081220</v>
      </c>
      <c r="BR129" s="36">
        <v>19711200</v>
      </c>
      <c r="BS129" s="36" cm="1">
        <f t="array" aca="1" ref="BS129" ca="1">_FV(EC129,"Volume")</f>
        <v>19711200</v>
      </c>
      <c r="BT129" s="24" cm="1">
        <f t="array" aca="1" ref="BT129" ca="1">_FV(EC129,"Beta")</f>
        <v>0.92459999999999998</v>
      </c>
      <c r="BU129" s="71" cm="1">
        <f t="array" aca="1" ref="BU129" ca="1">_FV(EC129,"Variação (%)",TRUE)</f>
        <v>2.2829999999999999E-3</v>
      </c>
      <c r="BW129" s="17" cm="1">
        <f t="array" aca="1" ref="BW129" ca="1">_FV(EC129,"Baixo")</f>
        <v>4.33</v>
      </c>
      <c r="BX129" s="17" cm="1">
        <f t="array" aca="1" ref="BX129" ca="1">_FV(EC129,"Alto")</f>
        <v>4.45</v>
      </c>
      <c r="BY129" s="24"/>
      <c r="BZ129" s="63">
        <f ca="1">SQRT(22.5*(BO129/VLOOKUP(BP129,Fundamentus!A:U,3,FALSE))*(BO129/VLOOKUP(BP129,Fundamentus!A:U,4,FALSE)))</f>
        <v>6.963518491004181</v>
      </c>
      <c r="CB129" s="62">
        <f t="shared" ca="1" si="112"/>
        <v>0</v>
      </c>
      <c r="CC129" s="8"/>
      <c r="CD129" s="61">
        <f t="shared" si="113"/>
        <v>3.92</v>
      </c>
      <c r="CE129" s="61">
        <f t="shared" si="114"/>
        <v>8.5299999999999994</v>
      </c>
      <c r="CF129" s="61">
        <f t="shared" si="115"/>
        <v>5.9859090909090913</v>
      </c>
      <c r="CG129" s="14"/>
      <c r="CH129" s="35">
        <f t="shared" si="98"/>
        <v>3.9645581516183817</v>
      </c>
      <c r="CI129" s="15">
        <f t="shared" si="116"/>
        <v>4.3449999999999704</v>
      </c>
      <c r="CJ129" s="35">
        <f t="shared" si="99"/>
        <v>4.7254418483815597</v>
      </c>
      <c r="CL129" s="14"/>
      <c r="CM129" s="17">
        <f t="shared" si="100"/>
        <v>-1.9133333333333322</v>
      </c>
      <c r="CN129" s="17">
        <f t="shared" si="101"/>
        <v>1.0033333333333339</v>
      </c>
      <c r="CO129" s="17">
        <f t="shared" si="102"/>
        <v>2.6966666666666672</v>
      </c>
      <c r="CP129" s="38">
        <f t="shared" si="117"/>
        <v>5.6133333333333333</v>
      </c>
      <c r="CQ129" s="17">
        <f t="shared" si="103"/>
        <v>7.3066666666666666</v>
      </c>
      <c r="CR129" s="17">
        <f t="shared" si="104"/>
        <v>10.223333333333333</v>
      </c>
      <c r="CS129" s="17">
        <f t="shared" si="105"/>
        <v>11.916666666666666</v>
      </c>
      <c r="CT129" s="2" cm="1">
        <f t="array" aca="1" ref="CT129" ca="1">MAX(_xlfn._xlws.FILTER(CM129:CS129,CM129:CS129&lt;BO129))</f>
        <v>2.6966666666666672</v>
      </c>
      <c r="CU129" s="2" cm="1">
        <f t="array" aca="1" ref="CU129" ca="1">MIN(_xlfn._xlws.FILTER($CM129:$CS129,$CM129:$CS129&gt;BO129))</f>
        <v>5.6133333333333333</v>
      </c>
      <c r="CV129" s="16">
        <f t="shared" ca="1" si="136"/>
        <v>1.0815822002472184</v>
      </c>
      <c r="CW129" s="20">
        <f t="shared" ca="1" si="137"/>
        <v>-0.5407911001236092</v>
      </c>
      <c r="CX129" s="20">
        <f t="shared" ca="1" si="138"/>
        <v>-0.36052740008240614</v>
      </c>
      <c r="CY129" s="20">
        <f t="shared" ca="1" si="139"/>
        <v>-0.21631644004944367</v>
      </c>
      <c r="CZ129" s="20">
        <f t="shared" ca="1" si="140"/>
        <v>-0.12017580002746871</v>
      </c>
      <c r="DA129" s="20">
        <f t="shared" ca="1" si="141"/>
        <v>-6.3622482367483441E-2</v>
      </c>
      <c r="DB129" s="20">
        <f t="shared" ca="1" si="142"/>
        <v>-3.2775218189309646E-2</v>
      </c>
      <c r="DC129" s="20">
        <f t="shared" ca="1" si="143"/>
        <v>-1.6639726157649515E-2</v>
      </c>
      <c r="DD129" s="21">
        <f t="shared" ca="1" si="144"/>
        <v>1.6639726157649515E-2</v>
      </c>
      <c r="DE129" s="21">
        <f t="shared" ca="1" si="145"/>
        <v>3.2775218189309646E-2</v>
      </c>
      <c r="DF129" s="21">
        <f t="shared" ca="1" si="146"/>
        <v>6.3622482367483441E-2</v>
      </c>
      <c r="DG129" s="21">
        <f t="shared" ca="1" si="147"/>
        <v>0.12017580002746871</v>
      </c>
      <c r="DH129" s="21">
        <f t="shared" ca="1" si="148"/>
        <v>0.21631644004944367</v>
      </c>
      <c r="DI129" s="21">
        <f t="shared" ca="1" si="149"/>
        <v>0.36052740008240614</v>
      </c>
      <c r="DJ129" s="21">
        <f t="shared" ca="1" si="150"/>
        <v>0.5407911001236092</v>
      </c>
      <c r="DL129" s="16" cm="1">
        <f t="array" aca="1" ref="DL129" ca="1">MAX(_xlfn._xlws.FILTER(CW129:DJ129,CW129:DJ129&lt;BU129))</f>
        <v>-1.6639726157649515E-2</v>
      </c>
      <c r="DM129" s="16" cm="1">
        <f t="array" aca="1" ref="DM129" ca="1">MIN(_xlfn._xlws.FILTER(CW129:DJ129,CW129:DJ129&gt;BU129))</f>
        <v>1.6639726157649515E-2</v>
      </c>
      <c r="DN129" s="2" cm="1">
        <f t="array" aca="1" ref="DN129" ca="1">_FV(EC129,"Fechamento anterior",TRUE)</f>
        <v>4.38</v>
      </c>
      <c r="DO129" s="28">
        <f t="shared" ca="1" si="106"/>
        <v>0.56860404435746714</v>
      </c>
      <c r="DP129" s="15">
        <f t="shared" ca="1" si="151"/>
        <v>4.3071179994294946</v>
      </c>
      <c r="DQ129" s="15">
        <f t="shared" ca="1" si="152"/>
        <v>4.4528820005705052</v>
      </c>
      <c r="DR129" s="9"/>
      <c r="DS129" s="9"/>
      <c r="DT129" s="9"/>
      <c r="DU129" s="89">
        <v>3.9677245831091994E-2</v>
      </c>
      <c r="DV129" s="89">
        <f t="shared" ca="1" si="107"/>
        <v>3.3279452315299031E-2</v>
      </c>
      <c r="DW129" s="72">
        <f t="shared" ca="1" si="108"/>
        <v>0.11828351741918143</v>
      </c>
      <c r="DX129" s="37"/>
      <c r="DY129" s="35">
        <f t="shared" si="118"/>
        <v>0.19022092419079445</v>
      </c>
      <c r="DZ129" s="56"/>
      <c r="EA129" s="56"/>
      <c r="EC129" s="2" t="e" vm="128">
        <v>#VALUE!</v>
      </c>
      <c r="EE129" s="10" cm="1">
        <f t="array" aca="1" ref="EE129" ca="1">_FV(EC129,"Ações em circulação",TRUE)</f>
        <v>1253079000</v>
      </c>
      <c r="EF129" s="18">
        <f>VLOOKUP(BP129,Fundamentus!A:U,5,FALSE)</f>
        <v>0.20599999999999999</v>
      </c>
      <c r="EG129" s="2">
        <f t="shared" ca="1" si="109"/>
        <v>26703965097.087379</v>
      </c>
      <c r="EH129" s="17">
        <v>307095598.61650485</v>
      </c>
      <c r="EI129" s="17">
        <f t="shared" ca="1" si="110"/>
        <v>307095598.61650485</v>
      </c>
      <c r="EK129" s="16">
        <f t="shared" ca="1" si="97"/>
        <v>0</v>
      </c>
      <c r="EL129" s="32" t="str">
        <f>IF(VLOOKUP(BP129,Fundamentus!A:U,3,FALSE)&lt;15,"Bom",IF(VLOOKUP(BP129,Fundamentus!A:U,3,FALSE)&gt;15,"Ruim","n/a"))</f>
        <v>Ruim</v>
      </c>
      <c r="EM129" s="28" t="str">
        <f>IF(VLOOKUP(BP129,Fundamentus!A:U,4,FALSE)&lt;1,"Baixo",IF(VLOOKUP(BP129,Fundamentus!A:U,4,FALSE)&lt;1.5,"Moderado",IF(VLOOKUP(BP129,Fundamentus!A:U,4,FALSE)&gt;1.5,"Alto","n/a")))</f>
        <v>Baixo</v>
      </c>
      <c r="EN129" s="17" t="str">
        <f>IF(VLOOKUP(BP129,Fundamentus!A:U,8,FALSE)&lt;0,"Risco elevado",IF(VLOOKUP(BP129,Fundamentus!A:U,8,FALSE)&lt;1,"Saudável",IF(VLOOKUP(BP129,Fundamentus!A:U,8,FALSE)&lt;3,"Estável",IF(VLOOKUP(BP129,Fundamentus!A:U,8,FALSE)&gt;3,"Alerta","n/a"))))</f>
        <v>Saudável</v>
      </c>
      <c r="EO129" s="28" t="str">
        <f t="shared" si="111"/>
        <v>Ruim</v>
      </c>
      <c r="EP129" s="17" t="str">
        <f>IF(VLOOKUP(BP129,Fundamentus!A:U,12,FALSE)&lt;2,"Subvalorizada",IF(VLOOKUP(BP129,Fundamentus!A:U,12,FALSE)&lt;6,"Muita barata",IF(VLOOKUP(BP129,Fundamentus!A:U,12,FALSE)&lt;6,"Barata",IF(VLOOKUP(BP129,Fundamentus!A:U,12,FALSE)&lt;8,"Atrativa",IF(VLOOKUP(BP129,Fundamentus!A:U,12,FALSE)&gt;8,"Supervalorizada","n/a")))))</f>
        <v>Muita barata</v>
      </c>
      <c r="ER129" s="17" t="str">
        <f>IF(VLOOKUP(BP129,Fundamentus!A:U,17,FALSE)&lt;0.1,"Fraco retorno",IF(VLOOKUP(BP129,Fundamentus!A:U,17,FALSE)&gt;0.1,"Bom retorno","n/a"))</f>
        <v>Fraco retorno</v>
      </c>
      <c r="ES129" s="17" t="str">
        <f>IF(VLOOKUP(BP129,Fundamentus!A:U,16,FALSE)&lt;0.1,"Ineficiente",IF(VLOOKUP(BP129,Fundamentus!A:U,16,FALSE)&gt;0.1,"Eficiente","n/a"))</f>
        <v>Ineficiente</v>
      </c>
      <c r="ET129" s="33" t="str">
        <f>IF(VLOOKUP(BP129,Fundamentus!A:U,16,FALSE)&lt;0.1,"Oper. Ineficiente",IF(VLOOKUP(BP129,Fundamentus!A:U,16,FALSE)&gt;0.1,"Oper.Eficiente","n/a"))</f>
        <v>Oper. Ineficiente</v>
      </c>
      <c r="EU129" s="34">
        <f>VLOOKUP(BP129,Fundamentus!A:U,14,FALSE)</f>
        <v>1.15E-2</v>
      </c>
      <c r="EV129" s="17" t="str">
        <f>IF(VLOOKUP(BP129,Fundamentus!A:U,21,FALSE)&lt;0,"Negativo",IF(VLOOKUP(BP129,Fundamentus!A:U,21,FALSE)&lt;0.05,"Fraco",IF(VLOOKUP(BP129,Fundamentus!A:U,21,FALSE)&lt;0.1,"Bom",IF(VLOOKUP(BP129,Fundamentus!A:U,21,FALSE)&gt;0.1,"Muito bom","n/a"))))</f>
        <v>Fraco</v>
      </c>
      <c r="EX129" s="29" t="str">
        <f>IF(VLOOKUP(BP129,Fundamentus!A:U,15,FALSE)&gt;1,"Bom",IF(VLOOKUP(BP129,Fundamentus!A:U,15,FALSE)&lt;1,"Ruim","n/a"))</f>
        <v>Bom</v>
      </c>
      <c r="EY129" s="17" t="str">
        <f>IF(VLOOKUP(BP129,Fundamentus!A:U,20,FALSE)&lt;0.5,"Baixa",IF(VLOOKUP(BP129,Fundamentus!A:U,20,FALSE)&lt;1,"Moderada",IF(VLOOKUP(BP129,Fundamentus!A:U,20,FALSE)&lt;2,"Alerta",IF(VLOOKUP(BP129,Fundamentus!A:U,20,FALSE)&gt;2,"Alta","n/a"))))</f>
        <v>Baixa</v>
      </c>
      <c r="EZ129" s="10"/>
    </row>
    <row r="130" spans="1:156" s="2" customFormat="1" ht="11.25" x14ac:dyDescent="0.2">
      <c r="A130" s="4">
        <v>7.13</v>
      </c>
      <c r="B130" s="4">
        <v>7</v>
      </c>
      <c r="C130" s="4">
        <v>6.9</v>
      </c>
      <c r="D130" s="4">
        <v>6.9</v>
      </c>
      <c r="E130" s="4">
        <v>6.76</v>
      </c>
      <c r="F130" s="4">
        <v>6.53</v>
      </c>
      <c r="G130" s="4">
        <v>6.56</v>
      </c>
      <c r="H130" s="4">
        <v>6.84</v>
      </c>
      <c r="I130" s="4">
        <v>6.74</v>
      </c>
      <c r="J130" s="4">
        <v>7.89</v>
      </c>
      <c r="K130" s="4">
        <v>7.75</v>
      </c>
      <c r="L130" s="4">
        <v>7.4</v>
      </c>
      <c r="M130" s="4">
        <v>7.04</v>
      </c>
      <c r="N130" s="4">
        <v>6.62</v>
      </c>
      <c r="O130" s="4">
        <v>7.04</v>
      </c>
      <c r="P130" s="4">
        <v>6.75</v>
      </c>
      <c r="Q130" s="4">
        <v>6.81</v>
      </c>
      <c r="R130" s="4">
        <v>6.72</v>
      </c>
      <c r="S130" s="4">
        <v>6.55</v>
      </c>
      <c r="T130" s="4">
        <v>6.65</v>
      </c>
      <c r="U130" s="4">
        <v>6.74</v>
      </c>
      <c r="V130" s="4">
        <v>6.5</v>
      </c>
      <c r="W130" s="4">
        <v>6.44</v>
      </c>
      <c r="X130" s="4">
        <v>6.17</v>
      </c>
      <c r="Y130" s="4">
        <v>6.1</v>
      </c>
      <c r="Z130" s="4">
        <v>6.01</v>
      </c>
      <c r="AA130" s="4">
        <v>5.96</v>
      </c>
      <c r="AB130" s="4">
        <v>5.85</v>
      </c>
      <c r="AC130" s="4">
        <v>5.27</v>
      </c>
      <c r="AD130" s="4">
        <v>5.22</v>
      </c>
      <c r="AE130" s="4">
        <v>5.17</v>
      </c>
      <c r="AF130" s="4">
        <v>4.93</v>
      </c>
      <c r="AG130" s="4">
        <v>4.83</v>
      </c>
      <c r="AH130" s="4">
        <v>4.6399999999999997</v>
      </c>
      <c r="AI130" s="4">
        <v>4.55</v>
      </c>
      <c r="AJ130" s="4">
        <v>4.5199999999999996</v>
      </c>
      <c r="AK130" s="4">
        <v>4.46</v>
      </c>
      <c r="AL130" s="4">
        <v>4.5999999999999996</v>
      </c>
      <c r="AM130" s="4">
        <v>4.53</v>
      </c>
      <c r="AN130" s="4">
        <v>4.6100000000000003</v>
      </c>
      <c r="AO130" s="4">
        <v>4.42</v>
      </c>
      <c r="AP130" s="4">
        <v>4.63</v>
      </c>
      <c r="AQ130" s="4">
        <v>4.4400000000000004</v>
      </c>
      <c r="AR130" s="4">
        <v>4.0999999999999996</v>
      </c>
      <c r="AS130" s="4">
        <v>4.1399999999999997</v>
      </c>
      <c r="AT130" s="4">
        <v>4.0999999999999996</v>
      </c>
      <c r="AU130" s="4">
        <v>4.07</v>
      </c>
      <c r="AV130" s="4">
        <v>4.1100000000000003</v>
      </c>
      <c r="AW130" s="4">
        <v>3.95</v>
      </c>
      <c r="AX130" s="4">
        <v>3.96</v>
      </c>
      <c r="AY130" s="12">
        <v>4.07</v>
      </c>
      <c r="AZ130" s="12">
        <v>4.1500000000000004</v>
      </c>
      <c r="BA130" s="12">
        <v>4</v>
      </c>
      <c r="BB130" s="15">
        <v>4.13</v>
      </c>
      <c r="BC130" s="52">
        <v>4.41</v>
      </c>
      <c r="BD130" s="52">
        <v>4.32</v>
      </c>
      <c r="BE130" s="52">
        <v>4.0999999999999996</v>
      </c>
      <c r="BF130" s="52">
        <v>4.09</v>
      </c>
      <c r="BG130" s="67">
        <v>4.08</v>
      </c>
      <c r="BH130" s="52">
        <v>4.0999999999999996</v>
      </c>
      <c r="BI130" s="52">
        <v>3.9</v>
      </c>
      <c r="BJ130" s="52">
        <v>3.89</v>
      </c>
      <c r="BK130" s="52">
        <v>3.68</v>
      </c>
      <c r="BL130" s="52">
        <v>3.57</v>
      </c>
      <c r="BM130" s="52">
        <v>3.46</v>
      </c>
      <c r="BN130" s="52">
        <v>3.22</v>
      </c>
      <c r="BO130" s="52" cm="1">
        <f t="array" aca="1" ref="BO130" ca="1">_FV(EC130,"Preço")</f>
        <v>3.22</v>
      </c>
      <c r="BP130" s="69" t="s">
        <v>126</v>
      </c>
      <c r="BQ130" s="36" cm="1">
        <f t="array" aca="1" ref="BQ130" ca="1">_FV(EC130,"Média de volume",TRUE)</f>
        <v>795490</v>
      </c>
      <c r="BR130" s="36">
        <v>1938100</v>
      </c>
      <c r="BS130" s="36" cm="1">
        <f t="array" aca="1" ref="BS130" ca="1">_FV(EC130,"Volume")</f>
        <v>1938100</v>
      </c>
      <c r="BT130" s="24" cm="1">
        <f t="array" aca="1" ref="BT130" ca="1">_FV(EC130,"Beta")</f>
        <v>0.41599999999999998</v>
      </c>
      <c r="BU130" s="71" cm="1">
        <f t="array" aca="1" ref="BU130" ca="1">_FV(EC130,"Variação (%)",TRUE)</f>
        <v>-5.2941000000000002E-2</v>
      </c>
      <c r="BW130" s="17" cm="1">
        <f t="array" aca="1" ref="BW130" ca="1">_FV(EC130,"Baixo")</f>
        <v>3.2</v>
      </c>
      <c r="BX130" s="17" cm="1">
        <f t="array" aca="1" ref="BX130" ca="1">_FV(EC130,"Alto")</f>
        <v>3.43</v>
      </c>
      <c r="BY130" s="24"/>
      <c r="BZ130" s="63" t="e">
        <f ca="1">SQRT(22.5*(BO130/VLOOKUP(BP130,Fundamentus!A:U,3,FALSE))*(BO130/VLOOKUP(BP130,Fundamentus!A:U,4,FALSE)))</f>
        <v>#NUM!</v>
      </c>
      <c r="CB130" s="62">
        <f t="shared" ca="1" si="112"/>
        <v>0</v>
      </c>
      <c r="CC130" s="8"/>
      <c r="CD130" s="61">
        <f t="shared" si="113"/>
        <v>3.22</v>
      </c>
      <c r="CE130" s="61">
        <f t="shared" si="114"/>
        <v>7.89</v>
      </c>
      <c r="CF130" s="61">
        <f t="shared" si="115"/>
        <v>5.3146969696969704</v>
      </c>
      <c r="CG130" s="14"/>
      <c r="CH130" s="35">
        <f t="shared" si="98"/>
        <v>2.6637534313856417</v>
      </c>
      <c r="CI130" s="15">
        <f t="shared" si="116"/>
        <v>3.1099999999999</v>
      </c>
      <c r="CJ130" s="35">
        <f t="shared" si="99"/>
        <v>3.5562465686141582</v>
      </c>
      <c r="CL130" s="14"/>
      <c r="CM130" s="17">
        <f t="shared" si="100"/>
        <v>-3.0066666666666664</v>
      </c>
      <c r="CN130" s="17">
        <f t="shared" si="101"/>
        <v>0.10666666666666647</v>
      </c>
      <c r="CO130" s="17">
        <f t="shared" si="102"/>
        <v>1.6633333333333331</v>
      </c>
      <c r="CP130" s="38">
        <f t="shared" si="117"/>
        <v>4.7766666666666664</v>
      </c>
      <c r="CQ130" s="17">
        <f t="shared" si="103"/>
        <v>6.3333333333333321</v>
      </c>
      <c r="CR130" s="17">
        <f t="shared" si="104"/>
        <v>9.4466666666666654</v>
      </c>
      <c r="CS130" s="17">
        <f t="shared" si="105"/>
        <v>11.003333333333332</v>
      </c>
      <c r="CT130" s="2" cm="1">
        <f t="array" aca="1" ref="CT130" ca="1">MAX(_xlfn._xlws.FILTER(CM130:CS130,CM130:CS130&lt;BO130))</f>
        <v>1.6633333333333331</v>
      </c>
      <c r="CU130" s="2" cm="1">
        <f t="array" aca="1" ref="CU130" ca="1">MIN(_xlfn._xlws.FILTER($CM130:$CS130,$CM130:$CS130&gt;BO130))</f>
        <v>4.7766666666666664</v>
      </c>
      <c r="CV130" s="16">
        <f t="shared" ca="1" si="136"/>
        <v>1.8717434869739482</v>
      </c>
      <c r="CW130" s="20">
        <f t="shared" ca="1" si="137"/>
        <v>-0.93587174348697411</v>
      </c>
      <c r="CX130" s="20">
        <f t="shared" ca="1" si="138"/>
        <v>-0.62391449565798274</v>
      </c>
      <c r="CY130" s="20">
        <f t="shared" ca="1" si="139"/>
        <v>-0.37434869739478965</v>
      </c>
      <c r="CZ130" s="20">
        <f t="shared" ca="1" si="140"/>
        <v>-0.20797149855266092</v>
      </c>
      <c r="DA130" s="20">
        <f t="shared" ca="1" si="141"/>
        <v>-0.11010255805729108</v>
      </c>
      <c r="DB130" s="20">
        <f t="shared" ca="1" si="142"/>
        <v>-5.6719499605271159E-2</v>
      </c>
      <c r="DC130" s="20">
        <f t="shared" ca="1" si="143"/>
        <v>-2.879605364575305E-2</v>
      </c>
      <c r="DD130" s="21">
        <f t="shared" ca="1" si="144"/>
        <v>2.879605364575305E-2</v>
      </c>
      <c r="DE130" s="21">
        <f t="shared" ca="1" si="145"/>
        <v>5.6719499605271159E-2</v>
      </c>
      <c r="DF130" s="21">
        <f t="shared" ca="1" si="146"/>
        <v>0.11010255805729108</v>
      </c>
      <c r="DG130" s="21">
        <f t="shared" ca="1" si="147"/>
        <v>0.20797149855266092</v>
      </c>
      <c r="DH130" s="21">
        <f t="shared" ca="1" si="148"/>
        <v>0.37434869739478965</v>
      </c>
      <c r="DI130" s="21">
        <f t="shared" ca="1" si="149"/>
        <v>0.62391449565798274</v>
      </c>
      <c r="DJ130" s="21">
        <f t="shared" ca="1" si="150"/>
        <v>0.93587174348697411</v>
      </c>
      <c r="DL130" s="16" cm="1">
        <f t="array" aca="1" ref="DL130" ca="1">MAX(_xlfn._xlws.FILTER(CW130:DJ130,CW130:DJ130&lt;BU130))</f>
        <v>-5.6719499605271159E-2</v>
      </c>
      <c r="DM130" s="16" cm="1">
        <f t="array" aca="1" ref="DM130" ca="1">MIN(_xlfn._xlws.FILTER(CW130:DJ130,CW130:DJ130&gt;BU130))</f>
        <v>-2.879605364575305E-2</v>
      </c>
      <c r="DN130" s="2" cm="1">
        <f t="array" aca="1" ref="DN130" ca="1">_FV(EC130,"Fechamento anterior",TRUE)</f>
        <v>3.4</v>
      </c>
      <c r="DO130" s="28">
        <f t="shared" ca="1" si="106"/>
        <v>0.13531005951631381</v>
      </c>
      <c r="DP130" s="15">
        <f t="shared" ca="1" si="151"/>
        <v>3.2071537013420781</v>
      </c>
      <c r="DQ130" s="15">
        <f t="shared" ca="1" si="152"/>
        <v>3.3020934176044396</v>
      </c>
      <c r="DR130" s="9"/>
      <c r="DS130" s="9"/>
      <c r="DT130" s="9"/>
      <c r="DU130" s="89">
        <v>4.3635456925570346E-2</v>
      </c>
      <c r="DV130" s="89">
        <f t="shared" ca="1" si="107"/>
        <v>2.7923445959518109E-2</v>
      </c>
      <c r="DW130" s="72">
        <f t="shared" ca="1" si="108"/>
        <v>0.24650049487592984</v>
      </c>
      <c r="DX130" s="37"/>
      <c r="DY130" s="35">
        <f t="shared" si="118"/>
        <v>0.22312328430712916</v>
      </c>
      <c r="DZ130" s="56"/>
      <c r="EA130" s="56"/>
      <c r="EC130" s="2" t="e" vm="129">
        <v>#VALUE!</v>
      </c>
      <c r="EE130" s="10" cm="1">
        <f t="array" aca="1" ref="EE130" ca="1">_FV(EC130,"Ações em circulação",TRUE)</f>
        <v>303541900</v>
      </c>
      <c r="EF130" s="18">
        <f>VLOOKUP(BP130,Fundamentus!A:U,5,FALSE)</f>
        <v>0.45600000000000002</v>
      </c>
      <c r="EG130" s="2">
        <f t="shared" ca="1" si="109"/>
        <v>2143431837.7192981</v>
      </c>
      <c r="EH130" s="17">
        <v>-51228020.921491228</v>
      </c>
      <c r="EI130" s="17">
        <f t="shared" ca="1" si="110"/>
        <v>-51228020.921491228</v>
      </c>
      <c r="EK130" s="16">
        <f t="shared" ca="1" si="97"/>
        <v>0</v>
      </c>
      <c r="EL130" s="32" t="str">
        <f>IF(VLOOKUP(BP130,Fundamentus!A:U,3,FALSE)&lt;15,"Bom",IF(VLOOKUP(BP130,Fundamentus!A:U,3,FALSE)&gt;15,"Ruim","n/a"))</f>
        <v>Bom</v>
      </c>
      <c r="EM130" s="28" t="str">
        <f>IF(VLOOKUP(BP130,Fundamentus!A:U,4,FALSE)&lt;1,"Baixo",IF(VLOOKUP(BP130,Fundamentus!A:U,4,FALSE)&lt;1.5,"Moderado",IF(VLOOKUP(BP130,Fundamentus!A:U,4,FALSE)&gt;1.5,"Alto","n/a")))</f>
        <v>Baixo</v>
      </c>
      <c r="EN130" s="17" t="str">
        <f>IF(VLOOKUP(BP130,Fundamentus!A:U,8,FALSE)&lt;0,"Risco elevado",IF(VLOOKUP(BP130,Fundamentus!A:U,8,FALSE)&lt;1,"Saudável",IF(VLOOKUP(BP130,Fundamentus!A:U,8,FALSE)&lt;3,"Estável",IF(VLOOKUP(BP130,Fundamentus!A:U,8,FALSE)&gt;3,"Alerta","n/a"))))</f>
        <v>Saudável</v>
      </c>
      <c r="EO130" s="28" t="str">
        <f t="shared" si="111"/>
        <v>Ruim</v>
      </c>
      <c r="EP130" s="17" t="str">
        <f>IF(VLOOKUP(BP130,Fundamentus!A:U,12,FALSE)&lt;2,"Subvalorizada",IF(VLOOKUP(BP130,Fundamentus!A:U,12,FALSE)&lt;6,"Muita barata",IF(VLOOKUP(BP130,Fundamentus!A:U,12,FALSE)&lt;6,"Barata",IF(VLOOKUP(BP130,Fundamentus!A:U,12,FALSE)&lt;8,"Atrativa",IF(VLOOKUP(BP130,Fundamentus!A:U,12,FALSE)&gt;8,"Supervalorizada","n/a")))))</f>
        <v>Muita barata</v>
      </c>
      <c r="ER130" s="17" t="str">
        <f>IF(VLOOKUP(BP130,Fundamentus!A:U,17,FALSE)&lt;0.1,"Fraco retorno",IF(VLOOKUP(BP130,Fundamentus!A:U,17,FALSE)&gt;0.1,"Bom retorno","n/a"))</f>
        <v>Fraco retorno</v>
      </c>
      <c r="ES130" s="17" t="str">
        <f>IF(VLOOKUP(BP130,Fundamentus!A:U,16,FALSE)&lt;0.1,"Ineficiente",IF(VLOOKUP(BP130,Fundamentus!A:U,16,FALSE)&gt;0.1,"Eficiente","n/a"))</f>
        <v>Ineficiente</v>
      </c>
      <c r="ET130" s="33" t="str">
        <f>IF(VLOOKUP(BP130,Fundamentus!A:U,16,FALSE)&lt;0.1,"Oper. Ineficiente",IF(VLOOKUP(BP130,Fundamentus!A:U,16,FALSE)&gt;0.1,"Oper.Eficiente","n/a"))</f>
        <v>Oper. Ineficiente</v>
      </c>
      <c r="EU130" s="34">
        <f>VLOOKUP(BP130,Fundamentus!A:U,14,FALSE)</f>
        <v>-2.3900000000000001E-2</v>
      </c>
      <c r="EV130" s="17" t="str">
        <f>IF(VLOOKUP(BP130,Fundamentus!A:U,21,FALSE)&lt;0,"Negativo",IF(VLOOKUP(BP130,Fundamentus!A:U,21,FALSE)&lt;0.05,"Fraco",IF(VLOOKUP(BP130,Fundamentus!A:U,21,FALSE)&lt;0.1,"Bom",IF(VLOOKUP(BP130,Fundamentus!A:U,21,FALSE)&gt;0.1,"Muito bom","n/a"))))</f>
        <v>Muito bom</v>
      </c>
      <c r="EX130" s="29" t="str">
        <f>IF(VLOOKUP(BP130,Fundamentus!A:U,15,FALSE)&gt;1,"Bom",IF(VLOOKUP(BP130,Fundamentus!A:U,15,FALSE)&lt;1,"Ruim","n/a"))</f>
        <v>Bom</v>
      </c>
      <c r="EY130" s="17" t="str">
        <f>IF(VLOOKUP(BP130,Fundamentus!A:U,20,FALSE)&lt;0.5,"Baixa",IF(VLOOKUP(BP130,Fundamentus!A:U,20,FALSE)&lt;1,"Moderada",IF(VLOOKUP(BP130,Fundamentus!A:U,20,FALSE)&lt;2,"Alerta",IF(VLOOKUP(BP130,Fundamentus!A:U,20,FALSE)&gt;2,"Alta","n/a"))))</f>
        <v>Alta</v>
      </c>
      <c r="EZ130" s="10"/>
    </row>
    <row r="131" spans="1:156" s="2" customFormat="1" ht="11.25" x14ac:dyDescent="0.2">
      <c r="A131" s="4">
        <v>20.23</v>
      </c>
      <c r="B131" s="4">
        <v>20.28</v>
      </c>
      <c r="C131" s="4">
        <v>20.149999999999999</v>
      </c>
      <c r="D131" s="4">
        <v>19.97</v>
      </c>
      <c r="E131" s="4">
        <v>19.28</v>
      </c>
      <c r="F131" s="4">
        <v>18.28</v>
      </c>
      <c r="G131" s="4">
        <v>18.010000000000002</v>
      </c>
      <c r="H131" s="4">
        <v>17.97</v>
      </c>
      <c r="I131" s="4">
        <v>18.53</v>
      </c>
      <c r="J131" s="4">
        <v>19.12</v>
      </c>
      <c r="K131" s="4">
        <v>19.239999999999998</v>
      </c>
      <c r="L131" s="4">
        <v>18.93</v>
      </c>
      <c r="M131" s="4">
        <v>18.57</v>
      </c>
      <c r="N131" s="4">
        <v>17.989999999999998</v>
      </c>
      <c r="O131" s="4">
        <v>18.07</v>
      </c>
      <c r="P131" s="4">
        <v>18.32</v>
      </c>
      <c r="Q131" s="4">
        <v>18.89</v>
      </c>
      <c r="R131" s="4">
        <v>19.47</v>
      </c>
      <c r="S131" s="4">
        <v>18.559999999999999</v>
      </c>
      <c r="T131" s="4">
        <v>18.829999999999998</v>
      </c>
      <c r="U131" s="4">
        <v>18.260000000000002</v>
      </c>
      <c r="V131" s="4">
        <v>20.3</v>
      </c>
      <c r="W131" s="4">
        <v>19.72</v>
      </c>
      <c r="X131" s="4">
        <v>19.45</v>
      </c>
      <c r="Y131" s="4">
        <v>18.91</v>
      </c>
      <c r="Z131" s="4">
        <v>19.38</v>
      </c>
      <c r="AA131" s="4">
        <v>19.77</v>
      </c>
      <c r="AB131" s="4">
        <v>19.37</v>
      </c>
      <c r="AC131" s="4">
        <v>17.62</v>
      </c>
      <c r="AD131" s="4">
        <v>18.05</v>
      </c>
      <c r="AE131" s="4">
        <v>18.45</v>
      </c>
      <c r="AF131" s="4">
        <v>17.48</v>
      </c>
      <c r="AG131" s="4">
        <v>17.510000000000002</v>
      </c>
      <c r="AH131" s="4">
        <v>16.739999999999998</v>
      </c>
      <c r="AI131" s="4">
        <v>16.61</v>
      </c>
      <c r="AJ131" s="4">
        <v>16.02</v>
      </c>
      <c r="AK131" s="4">
        <v>15.73</v>
      </c>
      <c r="AL131" s="4">
        <v>16.68</v>
      </c>
      <c r="AM131" s="4">
        <v>16.3</v>
      </c>
      <c r="AN131" s="4">
        <v>16.649999999999999</v>
      </c>
      <c r="AO131" s="4">
        <v>16.75</v>
      </c>
      <c r="AP131" s="4">
        <v>16.93</v>
      </c>
      <c r="AQ131" s="4">
        <v>17.46</v>
      </c>
      <c r="AR131" s="4">
        <v>16.600000000000001</v>
      </c>
      <c r="AS131" s="4">
        <v>17.14</v>
      </c>
      <c r="AT131" s="4">
        <v>17.5</v>
      </c>
      <c r="AU131" s="4">
        <v>17.940000000000001</v>
      </c>
      <c r="AV131" s="4">
        <v>18.23</v>
      </c>
      <c r="AW131" s="4">
        <v>16.71</v>
      </c>
      <c r="AX131" s="4">
        <v>17.170000000000002</v>
      </c>
      <c r="AY131" s="12">
        <v>17</v>
      </c>
      <c r="AZ131" s="12">
        <v>17.59</v>
      </c>
      <c r="BA131" s="12">
        <v>16.190000000000001</v>
      </c>
      <c r="BB131" s="15">
        <v>16.079999999999998</v>
      </c>
      <c r="BC131" s="52">
        <v>16.87</v>
      </c>
      <c r="BD131" s="52">
        <v>16.100000000000001</v>
      </c>
      <c r="BE131" s="52">
        <v>15.6</v>
      </c>
      <c r="BF131" s="52">
        <v>15.87</v>
      </c>
      <c r="BG131" s="67">
        <v>15.61</v>
      </c>
      <c r="BH131" s="52">
        <v>15.07</v>
      </c>
      <c r="BI131" s="52">
        <v>15.61</v>
      </c>
      <c r="BJ131" s="52">
        <v>16.489999999999998</v>
      </c>
      <c r="BK131" s="52">
        <v>16.66</v>
      </c>
      <c r="BL131" s="52">
        <v>16.190000000000001</v>
      </c>
      <c r="BM131" s="52">
        <v>16.52</v>
      </c>
      <c r="BN131" s="52">
        <v>15.7</v>
      </c>
      <c r="BO131" s="52" cm="1">
        <f t="array" aca="1" ref="BO131" ca="1">_FV(EC131,"Preço")</f>
        <v>15.7</v>
      </c>
      <c r="BP131" s="69" t="s">
        <v>127</v>
      </c>
      <c r="BQ131" s="36" cm="1">
        <f t="array" aca="1" ref="BQ131" ca="1">_FV(EC131,"Média de volume",TRUE)</f>
        <v>3807720</v>
      </c>
      <c r="BR131" s="36">
        <v>6439300</v>
      </c>
      <c r="BS131" s="36" cm="1">
        <f t="array" aca="1" ref="BS131" ca="1">_FV(EC131,"Volume")</f>
        <v>6439300</v>
      </c>
      <c r="BT131" s="24" cm="1">
        <f t="array" aca="1" ref="BT131" ca="1">_FV(EC131,"Beta")</f>
        <v>0.92410000000000003</v>
      </c>
      <c r="BU131" s="71" cm="1">
        <f t="array" aca="1" ref="BU131" ca="1">_FV(EC131,"Variação (%)",TRUE)</f>
        <v>-2.5409999999999999E-3</v>
      </c>
      <c r="BW131" s="17" cm="1">
        <f t="array" aca="1" ref="BW131" ca="1">_FV(EC131,"Baixo")</f>
        <v>15.63</v>
      </c>
      <c r="BX131" s="17" cm="1">
        <f t="array" aca="1" ref="BX131" ca="1">_FV(EC131,"Alto")</f>
        <v>16.059999999999999</v>
      </c>
      <c r="BY131" s="24"/>
      <c r="BZ131" s="63">
        <f ca="1">SQRT(22.5*(BO131/VLOOKUP(BP131,Fundamentus!A:U,3,FALSE))*(BO131/VLOOKUP(BP131,Fundamentus!A:U,4,FALSE)))</f>
        <v>35.485222646144983</v>
      </c>
      <c r="CB131" s="62">
        <f t="shared" ca="1" si="112"/>
        <v>0</v>
      </c>
      <c r="CC131" s="8"/>
      <c r="CD131" s="61">
        <f t="shared" si="113"/>
        <v>15.07</v>
      </c>
      <c r="CE131" s="61">
        <f t="shared" si="114"/>
        <v>20.3</v>
      </c>
      <c r="CF131" s="61">
        <f t="shared" si="115"/>
        <v>17.716212121212116</v>
      </c>
      <c r="CG131" s="14"/>
      <c r="CH131" s="35">
        <f t="shared" si="98"/>
        <v>14.945614143921603</v>
      </c>
      <c r="CI131" s="15">
        <f t="shared" si="116"/>
        <v>15.629999999999882</v>
      </c>
      <c r="CJ131" s="35">
        <f t="shared" si="99"/>
        <v>16.314385856078161</v>
      </c>
      <c r="CL131" s="14"/>
      <c r="CM131" s="17">
        <f t="shared" si="100"/>
        <v>8.5166666666666728</v>
      </c>
      <c r="CN131" s="17">
        <f t="shared" si="101"/>
        <v>11.793333333333337</v>
      </c>
      <c r="CO131" s="17">
        <f t="shared" si="102"/>
        <v>13.746666666666673</v>
      </c>
      <c r="CP131" s="38">
        <f t="shared" si="117"/>
        <v>17.023333333333337</v>
      </c>
      <c r="CQ131" s="17">
        <f t="shared" si="103"/>
        <v>18.976666666666674</v>
      </c>
      <c r="CR131" s="17">
        <f t="shared" si="104"/>
        <v>22.253333333333337</v>
      </c>
      <c r="CS131" s="17">
        <f t="shared" si="105"/>
        <v>24.206666666666674</v>
      </c>
      <c r="CT131" s="2" cm="1">
        <f t="array" aca="1" ref="CT131" ca="1">MAX(_xlfn._xlws.FILTER(CM131:CS131,CM131:CS131&lt;BO131))</f>
        <v>13.746666666666673</v>
      </c>
      <c r="CU131" s="2" cm="1">
        <f t="array" aca="1" ref="CU131" ca="1">MIN(_xlfn._xlws.FILTER($CM131:$CS131,$CM131:$CS131&gt;BO131))</f>
        <v>17.023333333333337</v>
      </c>
      <c r="CV131" s="16">
        <f t="shared" ca="1" si="136"/>
        <v>0.23836081474296766</v>
      </c>
      <c r="CW131" s="20">
        <f t="shared" ca="1" si="137"/>
        <v>-0.11918040737148383</v>
      </c>
      <c r="CX131" s="20">
        <f t="shared" ca="1" si="138"/>
        <v>-7.9453604914322559E-2</v>
      </c>
      <c r="CY131" s="20">
        <f t="shared" ca="1" si="139"/>
        <v>-4.7672162948593534E-2</v>
      </c>
      <c r="CZ131" s="20">
        <f t="shared" ca="1" si="140"/>
        <v>-2.6484534971440852E-2</v>
      </c>
      <c r="DA131" s="20">
        <f t="shared" ca="1" si="141"/>
        <v>-1.4021224396645156E-2</v>
      </c>
      <c r="DB131" s="20">
        <f t="shared" ca="1" si="142"/>
        <v>-7.223054992211141E-3</v>
      </c>
      <c r="DC131" s="20">
        <f t="shared" ca="1" si="143"/>
        <v>-3.6670894575841178E-3</v>
      </c>
      <c r="DD131" s="21">
        <f t="shared" ca="1" si="144"/>
        <v>3.6670894575841178E-3</v>
      </c>
      <c r="DE131" s="21">
        <f t="shared" ca="1" si="145"/>
        <v>7.223054992211141E-3</v>
      </c>
      <c r="DF131" s="21">
        <f t="shared" ca="1" si="146"/>
        <v>1.4021224396645156E-2</v>
      </c>
      <c r="DG131" s="21">
        <f t="shared" ca="1" si="147"/>
        <v>2.6484534971440852E-2</v>
      </c>
      <c r="DH131" s="21">
        <f t="shared" ca="1" si="148"/>
        <v>4.7672162948593534E-2</v>
      </c>
      <c r="DI131" s="21">
        <f t="shared" ca="1" si="149"/>
        <v>7.9453604914322559E-2</v>
      </c>
      <c r="DJ131" s="21">
        <f t="shared" ca="1" si="150"/>
        <v>0.11918040737148383</v>
      </c>
      <c r="DL131" s="16" cm="1">
        <f t="array" aca="1" ref="DL131" ca="1">MAX(_xlfn._xlws.FILTER(CW131:DJ131,CW131:DJ131&lt;BU131))</f>
        <v>-3.6670894575841178E-3</v>
      </c>
      <c r="DM131" s="16" cm="1">
        <f t="array" aca="1" ref="DM131" ca="1">MIN(_xlfn._xlws.FILTER(CW131:DJ131,CW131:DJ131&gt;BU131))</f>
        <v>3.6670894575841178E-3</v>
      </c>
      <c r="DN131" s="2" cm="1">
        <f t="array" aca="1" ref="DN131" ca="1">_FV(EC131,"Fechamento anterior",TRUE)</f>
        <v>15.74</v>
      </c>
      <c r="DO131" s="28">
        <f t="shared" ca="1" si="106"/>
        <v>0.15349958183657411</v>
      </c>
      <c r="DP131" s="15">
        <f t="shared" ca="1" si="151"/>
        <v>15.682280011937626</v>
      </c>
      <c r="DQ131" s="15">
        <f t="shared" ca="1" si="152"/>
        <v>15.797719988062374</v>
      </c>
      <c r="DR131" s="9"/>
      <c r="DS131" s="9"/>
      <c r="DT131" s="9"/>
      <c r="DU131" s="89">
        <v>1.1567172266032582E-2</v>
      </c>
      <c r="DV131" s="89">
        <f t="shared" ca="1" si="107"/>
        <v>7.3341789151682357E-3</v>
      </c>
      <c r="DW131" s="72">
        <f t="shared" ca="1" si="108"/>
        <v>0.10228148255610796</v>
      </c>
      <c r="DX131" s="37"/>
      <c r="DY131" s="35">
        <f t="shared" si="118"/>
        <v>0.34219292803913992</v>
      </c>
      <c r="DZ131" s="56"/>
      <c r="EA131" s="56"/>
      <c r="EC131" s="2" t="e" vm="130">
        <v>#VALUE!</v>
      </c>
      <c r="EE131" s="10" cm="1">
        <f t="array" aca="1" ref="EE131" ca="1">_FV(EC131,"Ações em circulação",TRUE)</f>
        <v>393096600</v>
      </c>
      <c r="EF131" s="18">
        <f>VLOOKUP(BP131,Fundamentus!A:U,5,FALSE)</f>
        <v>0</v>
      </c>
      <c r="EG131" s="2" t="e">
        <f t="shared" ca="1" si="109"/>
        <v>#DIV/0!</v>
      </c>
      <c r="EH131" s="17" t="e">
        <v>#DIV/0!</v>
      </c>
      <c r="EI131" s="17" t="e">
        <f t="shared" ca="1" si="110"/>
        <v>#DIV/0!</v>
      </c>
      <c r="EK131" s="16" t="e">
        <f t="shared" ref="EK131:EK194" ca="1" si="153">(EI131/EH131)-1</f>
        <v>#DIV/0!</v>
      </c>
      <c r="EL131" s="32" t="str">
        <f>IF(VLOOKUP(BP131,Fundamentus!A:U,3,FALSE)&lt;15,"Bom",IF(VLOOKUP(BP131,Fundamentus!A:U,3,FALSE)&gt;15,"Ruim","n/a"))</f>
        <v>Bom</v>
      </c>
      <c r="EM131" s="28" t="str">
        <f>IF(VLOOKUP(BP131,Fundamentus!A:U,4,FALSE)&lt;1,"Baixo",IF(VLOOKUP(BP131,Fundamentus!A:U,4,FALSE)&lt;1.5,"Moderado",IF(VLOOKUP(BP131,Fundamentus!A:U,4,FALSE)&gt;1.5,"Alto","n/a")))</f>
        <v>Baixo</v>
      </c>
      <c r="EN131" s="17" t="str">
        <f>IF(VLOOKUP(BP131,Fundamentus!A:U,8,FALSE)&lt;0,"Risco elevado",IF(VLOOKUP(BP131,Fundamentus!A:U,8,FALSE)&lt;1,"Saudável",IF(VLOOKUP(BP131,Fundamentus!A:U,8,FALSE)&lt;3,"Estável",IF(VLOOKUP(BP131,Fundamentus!A:U,8,FALSE)&gt;3,"Alerta","n/a"))))</f>
        <v>Alerta</v>
      </c>
      <c r="EO131" s="28" t="str">
        <f t="shared" si="111"/>
        <v>Ruim</v>
      </c>
      <c r="EP131" s="17" t="str">
        <f>IF(VLOOKUP(BP131,Fundamentus!A:U,12,FALSE)&lt;2,"Subvalorizada",IF(VLOOKUP(BP131,Fundamentus!A:U,12,FALSE)&lt;6,"Muita barata",IF(VLOOKUP(BP131,Fundamentus!A:U,12,FALSE)&lt;6,"Barata",IF(VLOOKUP(BP131,Fundamentus!A:U,12,FALSE)&lt;8,"Atrativa",IF(VLOOKUP(BP131,Fundamentus!A:U,12,FALSE)&gt;8,"Supervalorizada","n/a")))))</f>
        <v>Subvalorizada</v>
      </c>
      <c r="ER131" s="17" t="str">
        <f>IF(VLOOKUP(BP131,Fundamentus!A:U,17,FALSE)&lt;0.1,"Fraco retorno",IF(VLOOKUP(BP131,Fundamentus!A:U,17,FALSE)&gt;0.1,"Bom retorno","n/a"))</f>
        <v>Bom retorno</v>
      </c>
      <c r="ES131" s="17" t="str">
        <f>IF(VLOOKUP(BP131,Fundamentus!A:U,16,FALSE)&lt;0.1,"Ineficiente",IF(VLOOKUP(BP131,Fundamentus!A:U,16,FALSE)&gt;0.1,"Eficiente","n/a"))</f>
        <v>Ineficiente</v>
      </c>
      <c r="ET131" s="33" t="str">
        <f>IF(VLOOKUP(BP131,Fundamentus!A:U,16,FALSE)&lt;0.1,"Oper. Ineficiente",IF(VLOOKUP(BP131,Fundamentus!A:U,16,FALSE)&gt;0.1,"Oper.Eficiente","n/a"))</f>
        <v>Oper. Ineficiente</v>
      </c>
      <c r="EU131" s="34">
        <f>VLOOKUP(BP131,Fundamentus!A:U,14,FALSE)</f>
        <v>0</v>
      </c>
      <c r="EV131" s="17" t="str">
        <f>IF(VLOOKUP(BP131,Fundamentus!A:U,21,FALSE)&lt;0,"Negativo",IF(VLOOKUP(BP131,Fundamentus!A:U,21,FALSE)&lt;0.05,"Fraco",IF(VLOOKUP(BP131,Fundamentus!A:U,21,FALSE)&lt;0.1,"Bom",IF(VLOOKUP(BP131,Fundamentus!A:U,21,FALSE)&gt;0.1,"Muito bom","n/a"))))</f>
        <v>Fraco</v>
      </c>
      <c r="EX131" s="29" t="str">
        <f>IF(VLOOKUP(BP131,Fundamentus!A:U,15,FALSE)&gt;1,"Bom",IF(VLOOKUP(BP131,Fundamentus!A:U,15,FALSE)&lt;1,"Ruim","n/a"))</f>
        <v>Bom</v>
      </c>
      <c r="EY131" s="17" t="str">
        <f>IF(VLOOKUP(BP131,Fundamentus!A:U,20,FALSE)&lt;0.5,"Baixa",IF(VLOOKUP(BP131,Fundamentus!A:U,20,FALSE)&lt;1,"Moderada",IF(VLOOKUP(BP131,Fundamentus!A:U,20,FALSE)&lt;2,"Alerta",IF(VLOOKUP(BP131,Fundamentus!A:U,20,FALSE)&gt;2,"Alta","n/a"))))</f>
        <v>Baixa</v>
      </c>
      <c r="EZ131" s="10"/>
    </row>
    <row r="132" spans="1:156" s="2" customFormat="1" ht="11.25" x14ac:dyDescent="0.2">
      <c r="A132" s="4">
        <v>19.38</v>
      </c>
      <c r="B132" s="4">
        <v>19.329999999999998</v>
      </c>
      <c r="C132" s="4">
        <v>20.48</v>
      </c>
      <c r="D132" s="4">
        <v>20.54</v>
      </c>
      <c r="E132" s="4">
        <v>20.16</v>
      </c>
      <c r="F132" s="4">
        <v>19.72</v>
      </c>
      <c r="G132" s="4">
        <v>19.61</v>
      </c>
      <c r="H132" s="4">
        <v>20.65</v>
      </c>
      <c r="I132" s="4">
        <v>20.89</v>
      </c>
      <c r="J132" s="4">
        <v>20.69</v>
      </c>
      <c r="K132" s="4">
        <v>20.66</v>
      </c>
      <c r="L132" s="4">
        <v>20.32</v>
      </c>
      <c r="M132" s="4">
        <v>21.81</v>
      </c>
      <c r="N132" s="4">
        <v>21.01</v>
      </c>
      <c r="O132" s="4">
        <v>22.38</v>
      </c>
      <c r="P132" s="4">
        <v>22.99</v>
      </c>
      <c r="Q132" s="4">
        <v>23.53</v>
      </c>
      <c r="R132" s="4">
        <v>23.72</v>
      </c>
      <c r="S132" s="4">
        <v>24.8</v>
      </c>
      <c r="T132" s="4">
        <v>25.44</v>
      </c>
      <c r="U132" s="4">
        <v>24.89</v>
      </c>
      <c r="V132" s="4">
        <v>22.67</v>
      </c>
      <c r="W132" s="4">
        <v>22.83</v>
      </c>
      <c r="X132" s="4">
        <v>21.91</v>
      </c>
      <c r="Y132" s="4">
        <v>23.39</v>
      </c>
      <c r="Z132" s="4">
        <v>22.55</v>
      </c>
      <c r="AA132" s="4">
        <v>23.29</v>
      </c>
      <c r="AB132" s="4">
        <v>23.29</v>
      </c>
      <c r="AC132" s="4">
        <v>24.64</v>
      </c>
      <c r="AD132" s="4">
        <v>25.22</v>
      </c>
      <c r="AE132" s="4">
        <v>25.38</v>
      </c>
      <c r="AF132" s="4">
        <v>24.75</v>
      </c>
      <c r="AG132" s="4">
        <v>22.7</v>
      </c>
      <c r="AH132" s="4">
        <v>21.07</v>
      </c>
      <c r="AI132" s="4">
        <v>20.239999999999998</v>
      </c>
      <c r="AJ132" s="4">
        <v>20.8</v>
      </c>
      <c r="AK132" s="4">
        <v>21.51</v>
      </c>
      <c r="AL132" s="4">
        <v>21.72</v>
      </c>
      <c r="AM132" s="4">
        <v>21.48</v>
      </c>
      <c r="AN132" s="4">
        <v>22.38</v>
      </c>
      <c r="AO132" s="4">
        <v>23.26</v>
      </c>
      <c r="AP132" s="4">
        <v>24.52</v>
      </c>
      <c r="AQ132" s="4">
        <v>23.2</v>
      </c>
      <c r="AR132" s="4">
        <v>23.27</v>
      </c>
      <c r="AS132" s="4">
        <v>22.84</v>
      </c>
      <c r="AT132" s="4">
        <v>24</v>
      </c>
      <c r="AU132" s="4">
        <v>23.934999999999999</v>
      </c>
      <c r="AV132" s="4">
        <v>20.399999999999999</v>
      </c>
      <c r="AW132" s="4">
        <v>19.63</v>
      </c>
      <c r="AX132" s="4">
        <v>19.75</v>
      </c>
      <c r="AY132" s="12">
        <v>20.010000000000002</v>
      </c>
      <c r="AZ132" s="12">
        <v>21.24</v>
      </c>
      <c r="BA132" s="12">
        <v>21.44</v>
      </c>
      <c r="BB132" s="15">
        <v>21.04</v>
      </c>
      <c r="BC132" s="52">
        <v>22.31</v>
      </c>
      <c r="BD132" s="52">
        <v>24.28</v>
      </c>
      <c r="BE132" s="52">
        <v>23.88</v>
      </c>
      <c r="BF132" s="52">
        <v>24.29</v>
      </c>
      <c r="BG132" s="67">
        <v>26.52</v>
      </c>
      <c r="BH132" s="52">
        <v>27.51</v>
      </c>
      <c r="BI132" s="52">
        <v>27.75</v>
      </c>
      <c r="BJ132" s="52">
        <v>28.64</v>
      </c>
      <c r="BK132" s="52">
        <v>27.28</v>
      </c>
      <c r="BL132" s="52">
        <v>26.12</v>
      </c>
      <c r="BM132" s="52">
        <v>25.46</v>
      </c>
      <c r="BN132" s="52">
        <v>25.83</v>
      </c>
      <c r="BO132" s="52" cm="1">
        <f t="array" aca="1" ref="BO132" ca="1">_FV(EC132,"Preço")</f>
        <v>25.83</v>
      </c>
      <c r="BP132" s="66" t="s">
        <v>128</v>
      </c>
      <c r="BQ132" s="36" cm="1">
        <f t="array" aca="1" ref="BQ132" ca="1">_FV(EC132,"Média de volume",TRUE)</f>
        <v>2341650</v>
      </c>
      <c r="BR132" s="36">
        <v>2129700</v>
      </c>
      <c r="BS132" s="36" cm="1">
        <f t="array" aca="1" ref="BS132" ca="1">_FV(EC132,"Volume")</f>
        <v>2129700</v>
      </c>
      <c r="BT132" s="24" cm="1">
        <f t="array" aca="1" ref="BT132" ca="1">_FV(EC132,"Beta")</f>
        <v>0.89080000000000004</v>
      </c>
      <c r="BU132" s="71" cm="1">
        <f t="array" aca="1" ref="BU132" ca="1">_FV(EC132,"Variação (%)",TRUE)</f>
        <v>-1.16E-3</v>
      </c>
      <c r="BW132" s="17" cm="1">
        <f t="array" aca="1" ref="BW132" ca="1">_FV(EC132,"Baixo")</f>
        <v>25.55</v>
      </c>
      <c r="BX132" s="17" cm="1">
        <f t="array" aca="1" ref="BX132" ca="1">_FV(EC132,"Alto")</f>
        <v>26.1</v>
      </c>
      <c r="BY132" s="24"/>
      <c r="BZ132" s="63">
        <f ca="1">SQRT(22.5*(BO132/VLOOKUP(BP132,Fundamentus!A:U,3,FALSE))*(BO132/VLOOKUP(BP132,Fundamentus!A:U,4,FALSE)))</f>
        <v>42.509728575301907</v>
      </c>
      <c r="CB132" s="62">
        <f t="shared" ca="1" si="112"/>
        <v>0</v>
      </c>
      <c r="CC132" s="8"/>
      <c r="CD132" s="61">
        <f t="shared" si="113"/>
        <v>19.329999999999998</v>
      </c>
      <c r="CE132" s="61">
        <f t="shared" si="114"/>
        <v>28.64</v>
      </c>
      <c r="CF132" s="61">
        <f t="shared" si="115"/>
        <v>22.776136363636361</v>
      </c>
      <c r="CG132" s="14"/>
      <c r="CH132" s="35">
        <f t="shared" si="98"/>
        <v>22.600496604874298</v>
      </c>
      <c r="CI132" s="15">
        <f t="shared" si="116"/>
        <v>24.920000000000073</v>
      </c>
      <c r="CJ132" s="35">
        <f t="shared" si="99"/>
        <v>27.239503395125848</v>
      </c>
      <c r="CL132" s="14"/>
      <c r="CM132" s="17">
        <f t="shared" si="100"/>
        <v>11.249999999999993</v>
      </c>
      <c r="CN132" s="17">
        <f t="shared" si="101"/>
        <v>15.289999999999996</v>
      </c>
      <c r="CO132" s="17">
        <f t="shared" si="102"/>
        <v>20.559999999999995</v>
      </c>
      <c r="CP132" s="38">
        <f t="shared" si="117"/>
        <v>24.599999999999998</v>
      </c>
      <c r="CQ132" s="17">
        <f t="shared" si="103"/>
        <v>29.869999999999997</v>
      </c>
      <c r="CR132" s="17">
        <f t="shared" si="104"/>
        <v>33.909999999999997</v>
      </c>
      <c r="CS132" s="17">
        <f t="shared" si="105"/>
        <v>39.18</v>
      </c>
      <c r="CT132" s="2" cm="1">
        <f t="array" aca="1" ref="CT132" ca="1">MAX(_xlfn._xlws.FILTER(CM132:CS132,CM132:CS132&lt;BO132))</f>
        <v>24.599999999999998</v>
      </c>
      <c r="CU132" s="2" cm="1">
        <f t="array" aca="1" ref="CU132" ca="1">MIN(_xlfn._xlws.FILTER($CM132:$CS132,$CM132:$CS132&gt;BO132))</f>
        <v>29.869999999999997</v>
      </c>
      <c r="CV132" s="16">
        <f t="shared" ca="1" si="136"/>
        <v>0.21422764227642266</v>
      </c>
      <c r="CW132" s="20">
        <f t="shared" ca="1" si="137"/>
        <v>-0.10711382113821133</v>
      </c>
      <c r="CX132" s="20">
        <f t="shared" ca="1" si="138"/>
        <v>-7.1409214092140891E-2</v>
      </c>
      <c r="CY132" s="20">
        <f t="shared" ca="1" si="139"/>
        <v>-4.2845528455284533E-2</v>
      </c>
      <c r="CZ132" s="20">
        <f t="shared" ca="1" si="140"/>
        <v>-2.3803071364046961E-2</v>
      </c>
      <c r="DA132" s="20">
        <f t="shared" ca="1" si="141"/>
        <v>-1.2601626016260156E-2</v>
      </c>
      <c r="DB132" s="20">
        <f t="shared" ca="1" si="142"/>
        <v>-6.4917467356491714E-3</v>
      </c>
      <c r="DC132" s="20">
        <f t="shared" ca="1" si="143"/>
        <v>-3.2958098811757333E-3</v>
      </c>
      <c r="DD132" s="21">
        <f t="shared" ca="1" si="144"/>
        <v>3.2958098811757333E-3</v>
      </c>
      <c r="DE132" s="21">
        <f t="shared" ca="1" si="145"/>
        <v>6.4917467356491714E-3</v>
      </c>
      <c r="DF132" s="21">
        <f t="shared" ca="1" si="146"/>
        <v>1.2601626016260156E-2</v>
      </c>
      <c r="DG132" s="21">
        <f t="shared" ca="1" si="147"/>
        <v>2.3803071364046961E-2</v>
      </c>
      <c r="DH132" s="21">
        <f t="shared" ca="1" si="148"/>
        <v>4.2845528455284533E-2</v>
      </c>
      <c r="DI132" s="21">
        <f t="shared" ca="1" si="149"/>
        <v>7.1409214092140891E-2</v>
      </c>
      <c r="DJ132" s="21">
        <f t="shared" ca="1" si="150"/>
        <v>0.10711382113821133</v>
      </c>
      <c r="DL132" s="16" cm="1">
        <f t="array" aca="1" ref="DL132" ca="1">MAX(_xlfn._xlws.FILTER(CW132:DJ132,CW132:DJ132&lt;BU132))</f>
        <v>-3.2958098811757333E-3</v>
      </c>
      <c r="DM132" s="16" cm="1">
        <f t="array" aca="1" ref="DM132" ca="1">MIN(_xlfn._xlws.FILTER(CW132:DJ132,CW132:DJ132&gt;BU132))</f>
        <v>3.2958098811757333E-3</v>
      </c>
      <c r="DN132" s="2" cm="1">
        <f t="array" aca="1" ref="DN132" ca="1">_FV(EC132,"Fechamento anterior",TRUE)</f>
        <v>25.86</v>
      </c>
      <c r="DO132" s="28">
        <f t="shared" ca="1" si="106"/>
        <v>0.3240048957237166</v>
      </c>
      <c r="DP132" s="15">
        <f t="shared" ca="1" si="151"/>
        <v>25.774770356472796</v>
      </c>
      <c r="DQ132" s="15">
        <f t="shared" ca="1" si="152"/>
        <v>25.945229643527203</v>
      </c>
      <c r="DR132" s="9"/>
      <c r="DS132" s="9"/>
      <c r="DT132" s="9"/>
      <c r="DU132" s="89">
        <v>1.1362262995808848E-2</v>
      </c>
      <c r="DV132" s="89">
        <f t="shared" ca="1" si="107"/>
        <v>6.5916197623514666E-3</v>
      </c>
      <c r="DW132" s="72">
        <f t="shared" ca="1" si="108"/>
        <v>0.39232535805388674</v>
      </c>
      <c r="DX132" s="37"/>
      <c r="DY132" s="35">
        <f t="shared" si="118"/>
        <v>1.1597516975628881</v>
      </c>
      <c r="DZ132" s="56"/>
      <c r="EA132" s="56"/>
      <c r="EC132" s="2" t="e" vm="131">
        <v>#VALUE!</v>
      </c>
      <c r="EE132" s="10" cm="1">
        <f t="array" aca="1" ref="EE132" ca="1">_FV(EC132,"Ações em circulação",TRUE)</f>
        <v>380253100</v>
      </c>
      <c r="EF132" s="18">
        <f>VLOOKUP(BP132,Fundamentus!A:U,5,FALSE)</f>
        <v>1.216</v>
      </c>
      <c r="EG132" s="2">
        <f t="shared" ca="1" si="109"/>
        <v>8077251293.5855265</v>
      </c>
      <c r="EH132" s="17">
        <v>1394133573.272862</v>
      </c>
      <c r="EI132" s="17">
        <f t="shared" ca="1" si="110"/>
        <v>1394133573.272862</v>
      </c>
      <c r="EK132" s="16">
        <f t="shared" ca="1" si="153"/>
        <v>0</v>
      </c>
      <c r="EL132" s="32" t="str">
        <f>IF(VLOOKUP(BP132,Fundamentus!A:U,3,FALSE)&lt;15,"Bom",IF(VLOOKUP(BP132,Fundamentus!A:U,3,FALSE)&gt;15,"Ruim","n/a"))</f>
        <v>Bom</v>
      </c>
      <c r="EM132" s="28" t="str">
        <f>IF(VLOOKUP(BP132,Fundamentus!A:U,4,FALSE)&lt;1,"Baixo",IF(VLOOKUP(BP132,Fundamentus!A:U,4,FALSE)&lt;1.5,"Moderado",IF(VLOOKUP(BP132,Fundamentus!A:U,4,FALSE)&gt;1.5,"Alto","n/a")))</f>
        <v>Moderado</v>
      </c>
      <c r="EN132" s="17" t="str">
        <f>IF(VLOOKUP(BP132,Fundamentus!A:U,8,FALSE)&lt;0,"Risco elevado",IF(VLOOKUP(BP132,Fundamentus!A:U,8,FALSE)&lt;1,"Saudável",IF(VLOOKUP(BP132,Fundamentus!A:U,8,FALSE)&lt;3,"Estável",IF(VLOOKUP(BP132,Fundamentus!A:U,8,FALSE)&gt;3,"Alerta","n/a"))))</f>
        <v>Alerta</v>
      </c>
      <c r="EO132" s="28" t="str">
        <f t="shared" si="111"/>
        <v>Bom</v>
      </c>
      <c r="EP132" s="17" t="str">
        <f>IF(VLOOKUP(BP132,Fundamentus!A:U,12,FALSE)&lt;2,"Subvalorizada",IF(VLOOKUP(BP132,Fundamentus!A:U,12,FALSE)&lt;6,"Muita barata",IF(VLOOKUP(BP132,Fundamentus!A:U,12,FALSE)&lt;6,"Barata",IF(VLOOKUP(BP132,Fundamentus!A:U,12,FALSE)&lt;8,"Atrativa",IF(VLOOKUP(BP132,Fundamentus!A:U,12,FALSE)&gt;8,"Supervalorizada","n/a")))))</f>
        <v>Muita barata</v>
      </c>
      <c r="ER132" s="17" t="str">
        <f>IF(VLOOKUP(BP132,Fundamentus!A:U,17,FALSE)&lt;0.1,"Fraco retorno",IF(VLOOKUP(BP132,Fundamentus!A:U,17,FALSE)&gt;0.1,"Bom retorno","n/a"))</f>
        <v>Bom retorno</v>
      </c>
      <c r="ES132" s="17" t="str">
        <f>IF(VLOOKUP(BP132,Fundamentus!A:U,16,FALSE)&lt;0.1,"Ineficiente",IF(VLOOKUP(BP132,Fundamentus!A:U,16,FALSE)&gt;0.1,"Eficiente","n/a"))</f>
        <v>Eficiente</v>
      </c>
      <c r="ET132" s="33" t="str">
        <f>IF(VLOOKUP(BP132,Fundamentus!A:U,16,FALSE)&lt;0.1,"Oper. Ineficiente",IF(VLOOKUP(BP132,Fundamentus!A:U,16,FALSE)&gt;0.1,"Oper.Eficiente","n/a"))</f>
        <v>Oper.Eficiente</v>
      </c>
      <c r="EU132" s="34">
        <f>VLOOKUP(BP132,Fundamentus!A:U,14,FALSE)</f>
        <v>0.1726</v>
      </c>
      <c r="EV132" s="17" t="str">
        <f>IF(VLOOKUP(BP132,Fundamentus!A:U,21,FALSE)&lt;0,"Negativo",IF(VLOOKUP(BP132,Fundamentus!A:U,21,FALSE)&lt;0.05,"Fraco",IF(VLOOKUP(BP132,Fundamentus!A:U,21,FALSE)&lt;0.1,"Bom",IF(VLOOKUP(BP132,Fundamentus!A:U,21,FALSE)&gt;0.1,"Muito bom","n/a"))))</f>
        <v>Muito bom</v>
      </c>
      <c r="EX132" s="29" t="str">
        <f>IF(VLOOKUP(BP132,Fundamentus!A:U,15,FALSE)&gt;1,"Bom",IF(VLOOKUP(BP132,Fundamentus!A:U,15,FALSE)&lt;1,"Ruim","n/a"))</f>
        <v>Bom</v>
      </c>
      <c r="EY132" s="17" t="str">
        <f>IF(VLOOKUP(BP132,Fundamentus!A:U,20,FALSE)&lt;0.5,"Baixa",IF(VLOOKUP(BP132,Fundamentus!A:U,20,FALSE)&lt;1,"Moderada",IF(VLOOKUP(BP132,Fundamentus!A:U,20,FALSE)&lt;2,"Alerta",IF(VLOOKUP(BP132,Fundamentus!A:U,20,FALSE)&gt;2,"Alta","n/a"))))</f>
        <v>Moderada</v>
      </c>
      <c r="EZ132" s="10"/>
    </row>
    <row r="133" spans="1:156" s="2" customFormat="1" ht="11.25" x14ac:dyDescent="0.2">
      <c r="A133" s="4">
        <v>49.88</v>
      </c>
      <c r="B133" s="4">
        <v>49.55</v>
      </c>
      <c r="C133" s="4">
        <v>48.4</v>
      </c>
      <c r="D133" s="4">
        <v>45.06</v>
      </c>
      <c r="E133" s="4">
        <v>42.7</v>
      </c>
      <c r="F133" s="4">
        <v>42.75</v>
      </c>
      <c r="G133" s="4">
        <v>40.42</v>
      </c>
      <c r="H133" s="4">
        <v>41.7</v>
      </c>
      <c r="I133" s="4">
        <v>41.76</v>
      </c>
      <c r="J133" s="4">
        <v>43.74</v>
      </c>
      <c r="K133" s="4">
        <v>46.7</v>
      </c>
      <c r="L133" s="4">
        <v>43.41</v>
      </c>
      <c r="M133" s="4">
        <v>43.93</v>
      </c>
      <c r="N133" s="4">
        <v>45.08</v>
      </c>
      <c r="O133" s="4">
        <v>48.85</v>
      </c>
      <c r="P133" s="4">
        <v>42.6</v>
      </c>
      <c r="Q133" s="4">
        <v>42.3</v>
      </c>
      <c r="R133" s="4">
        <v>41.37</v>
      </c>
      <c r="S133" s="4">
        <v>42.02</v>
      </c>
      <c r="T133" s="4">
        <v>44.2</v>
      </c>
      <c r="U133" s="4">
        <v>43</v>
      </c>
      <c r="V133" s="4">
        <v>41.37</v>
      </c>
      <c r="W133" s="4">
        <v>41.9</v>
      </c>
      <c r="X133" s="4">
        <v>41.58</v>
      </c>
      <c r="Y133" s="4">
        <v>42.16</v>
      </c>
      <c r="Z133" s="4">
        <v>42.13</v>
      </c>
      <c r="AA133" s="4">
        <v>40.76</v>
      </c>
      <c r="AB133" s="4">
        <v>40.9</v>
      </c>
      <c r="AC133" s="4">
        <v>44.73</v>
      </c>
      <c r="AD133" s="4">
        <v>44.2</v>
      </c>
      <c r="AE133" s="4">
        <v>37.700000000000003</v>
      </c>
      <c r="AF133" s="4">
        <v>34.82</v>
      </c>
      <c r="AG133" s="4">
        <v>32.229999999999997</v>
      </c>
      <c r="AH133" s="4">
        <v>32.880000000000003</v>
      </c>
      <c r="AI133" s="4">
        <v>32.5</v>
      </c>
      <c r="AJ133" s="4">
        <v>32.28</v>
      </c>
      <c r="AK133" s="4">
        <v>28.87</v>
      </c>
      <c r="AL133" s="4">
        <v>30.44</v>
      </c>
      <c r="AM133" s="4">
        <v>30.32</v>
      </c>
      <c r="AN133" s="4">
        <v>30.87</v>
      </c>
      <c r="AO133" s="4">
        <v>29.94</v>
      </c>
      <c r="AP133" s="4">
        <v>31.61</v>
      </c>
      <c r="AQ133" s="4">
        <v>29.24</v>
      </c>
      <c r="AR133" s="4">
        <v>28.1</v>
      </c>
      <c r="AS133" s="4">
        <v>29.82</v>
      </c>
      <c r="AT133" s="4">
        <v>32.85</v>
      </c>
      <c r="AU133" s="4">
        <v>33.344999999999999</v>
      </c>
      <c r="AV133" s="4">
        <v>34.479999999999997</v>
      </c>
      <c r="AW133" s="4">
        <v>36.1</v>
      </c>
      <c r="AX133" s="4">
        <v>38.57</v>
      </c>
      <c r="AY133" s="12">
        <v>40.25</v>
      </c>
      <c r="AZ133" s="12">
        <v>42.81</v>
      </c>
      <c r="BA133" s="12">
        <v>42.96</v>
      </c>
      <c r="BB133" s="15">
        <v>43.9</v>
      </c>
      <c r="BC133" s="52">
        <v>40.75</v>
      </c>
      <c r="BD133" s="52">
        <v>40.590000000000003</v>
      </c>
      <c r="BE133" s="52">
        <v>42.96</v>
      </c>
      <c r="BF133" s="52">
        <v>43.8</v>
      </c>
      <c r="BG133" s="67">
        <v>44.02</v>
      </c>
      <c r="BH133" s="52">
        <v>43.26</v>
      </c>
      <c r="BI133" s="52">
        <v>40.549999999999997</v>
      </c>
      <c r="BJ133" s="52">
        <v>39.18</v>
      </c>
      <c r="BK133" s="52">
        <v>36.659999999999997</v>
      </c>
      <c r="BL133" s="52">
        <v>35.799999999999997</v>
      </c>
      <c r="BM133" s="52">
        <v>36.18</v>
      </c>
      <c r="BN133" s="52">
        <v>34.369999999999997</v>
      </c>
      <c r="BO133" s="52" cm="1">
        <f t="array" aca="1" ref="BO133" ca="1">_FV(EC133,"Preço")</f>
        <v>34.369999999999997</v>
      </c>
      <c r="BP133" s="69" t="s">
        <v>129</v>
      </c>
      <c r="BQ133" s="36" cm="1">
        <f t="array" aca="1" ref="BQ133" ca="1">_FV(EC133,"Média de volume",TRUE)</f>
        <v>5628680</v>
      </c>
      <c r="BR133" s="36">
        <v>9470000</v>
      </c>
      <c r="BS133" s="36" cm="1">
        <f t="array" aca="1" ref="BS133" ca="1">_FV(EC133,"Volume")</f>
        <v>9470000</v>
      </c>
      <c r="BT133" s="24" cm="1">
        <f t="array" aca="1" ref="BT133" ca="1">_FV(EC133,"Beta")</f>
        <v>1.2055</v>
      </c>
      <c r="BU133" s="71" cm="1">
        <f t="array" aca="1" ref="BU133" ca="1">_FV(EC133,"Variação (%)",TRUE)</f>
        <v>-7.5079999999999999E-3</v>
      </c>
      <c r="BW133" s="17" cm="1">
        <f t="array" aca="1" ref="BW133" ca="1">_FV(EC133,"Baixo")</f>
        <v>34.04</v>
      </c>
      <c r="BX133" s="17" cm="1">
        <f t="array" aca="1" ref="BX133" ca="1">_FV(EC133,"Alto")</f>
        <v>36.01</v>
      </c>
      <c r="BY133" s="24"/>
      <c r="BZ133" s="63">
        <f ca="1">SQRT(22.5*(BO133/VLOOKUP(BP133,Fundamentus!A:U,3,FALSE))*(BO133/VLOOKUP(BP133,Fundamentus!A:U,4,FALSE)))</f>
        <v>29.670498960167656</v>
      </c>
      <c r="CB133" s="62">
        <f t="shared" ca="1" si="112"/>
        <v>0</v>
      </c>
      <c r="CC133" s="8"/>
      <c r="CD133" s="61">
        <f t="shared" si="113"/>
        <v>28.1</v>
      </c>
      <c r="CE133" s="61">
        <f t="shared" si="114"/>
        <v>49.88</v>
      </c>
      <c r="CF133" s="61">
        <f t="shared" si="115"/>
        <v>39.456893939393943</v>
      </c>
      <c r="CG133" s="14"/>
      <c r="CH133" s="35">
        <f t="shared" si="98"/>
        <v>30.990817940927123</v>
      </c>
      <c r="CI133" s="15">
        <f t="shared" si="116"/>
        <v>34.1299999999992</v>
      </c>
      <c r="CJ133" s="35">
        <f t="shared" si="99"/>
        <v>37.269182059071277</v>
      </c>
      <c r="CL133" s="14"/>
      <c r="CM133" s="17">
        <f t="shared" si="100"/>
        <v>3.2399999999999878</v>
      </c>
      <c r="CN133" s="17">
        <f t="shared" si="101"/>
        <v>15.669999999999995</v>
      </c>
      <c r="CO133" s="17">
        <f t="shared" si="102"/>
        <v>25.019999999999989</v>
      </c>
      <c r="CP133" s="38">
        <f t="shared" si="117"/>
        <v>37.449999999999996</v>
      </c>
      <c r="CQ133" s="17">
        <f t="shared" si="103"/>
        <v>46.79999999999999</v>
      </c>
      <c r="CR133" s="17">
        <f t="shared" si="104"/>
        <v>59.23</v>
      </c>
      <c r="CS133" s="17">
        <f t="shared" si="105"/>
        <v>68.579999999999984</v>
      </c>
      <c r="CT133" s="2" cm="1">
        <f t="array" aca="1" ref="CT133" ca="1">MAX(_xlfn._xlws.FILTER(CM133:CS133,CM133:CS133&lt;BO133))</f>
        <v>25.019999999999989</v>
      </c>
      <c r="CU133" s="2" cm="1">
        <f t="array" aca="1" ref="CU133" ca="1">MIN(_xlfn._xlws.FILTER($CM133:$CS133,$CM133:$CS133&gt;BO133))</f>
        <v>37.449999999999996</v>
      </c>
      <c r="CV133" s="16">
        <f t="shared" ca="1" si="136"/>
        <v>0.49680255795363748</v>
      </c>
      <c r="CW133" s="20">
        <f t="shared" ca="1" si="137"/>
        <v>-0.24840127897681874</v>
      </c>
      <c r="CX133" s="20">
        <f t="shared" ca="1" si="138"/>
        <v>-0.16560085265121249</v>
      </c>
      <c r="CY133" s="20">
        <f t="shared" ca="1" si="139"/>
        <v>-9.9360511590727493E-2</v>
      </c>
      <c r="CZ133" s="20">
        <f t="shared" ca="1" si="140"/>
        <v>-5.5200284217070829E-2</v>
      </c>
      <c r="DA133" s="20">
        <f t="shared" ca="1" si="141"/>
        <v>-2.9223679879625736E-2</v>
      </c>
      <c r="DB133" s="20">
        <f t="shared" ca="1" si="142"/>
        <v>-1.5054622968292046E-2</v>
      </c>
      <c r="DC133" s="20">
        <f t="shared" ca="1" si="143"/>
        <v>-7.6431162762098078E-3</v>
      </c>
      <c r="DD133" s="21">
        <f t="shared" ca="1" si="144"/>
        <v>7.6431162762098078E-3</v>
      </c>
      <c r="DE133" s="21">
        <f t="shared" ca="1" si="145"/>
        <v>1.5054622968292046E-2</v>
      </c>
      <c r="DF133" s="21">
        <f t="shared" ca="1" si="146"/>
        <v>2.9223679879625736E-2</v>
      </c>
      <c r="DG133" s="21">
        <f t="shared" ca="1" si="147"/>
        <v>5.5200284217070829E-2</v>
      </c>
      <c r="DH133" s="21">
        <f t="shared" ca="1" si="148"/>
        <v>9.9360511590727493E-2</v>
      </c>
      <c r="DI133" s="21">
        <f t="shared" ca="1" si="149"/>
        <v>0.16560085265121249</v>
      </c>
      <c r="DJ133" s="21">
        <f t="shared" ca="1" si="150"/>
        <v>0.24840127897681874</v>
      </c>
      <c r="DL133" s="16" cm="1">
        <f t="array" aca="1" ref="DL133" ca="1">MAX(_xlfn._xlws.FILTER(CW133:DJ133,CW133:DJ133&lt;BU133))</f>
        <v>-7.6431162762098078E-3</v>
      </c>
      <c r="DM133" s="16" cm="1">
        <f t="array" aca="1" ref="DM133" ca="1">MIN(_xlfn._xlws.FILTER(CW133:DJ133,CW133:DJ133&gt;BU133))</f>
        <v>7.6431162762098078E-3</v>
      </c>
      <c r="DN133" s="2" cm="1">
        <f t="array" aca="1" ref="DN133" ca="1">_FV(EC133,"Fechamento anterior",TRUE)</f>
        <v>34.630000000000003</v>
      </c>
      <c r="DO133" s="28">
        <f t="shared" ca="1" si="106"/>
        <v>8.8429365579065188E-3</v>
      </c>
      <c r="DP133" s="15">
        <f t="shared" ca="1" si="151"/>
        <v>34.36531888335486</v>
      </c>
      <c r="DQ133" s="15">
        <f t="shared" ca="1" si="152"/>
        <v>34.894681116645145</v>
      </c>
      <c r="DR133" s="9"/>
      <c r="DS133" s="9"/>
      <c r="DT133" s="9"/>
      <c r="DU133" s="89">
        <v>1.416048017690728E-2</v>
      </c>
      <c r="DV133" s="89">
        <f t="shared" ca="1" si="107"/>
        <v>1.5286232552419616E-2</v>
      </c>
      <c r="DW133" s="72">
        <f t="shared" ca="1" si="108"/>
        <v>7.6453036327475812E-2</v>
      </c>
      <c r="DX133" s="37"/>
      <c r="DY133" s="35">
        <f t="shared" si="118"/>
        <v>1.5695910295360389</v>
      </c>
      <c r="DZ133" s="56"/>
      <c r="EA133" s="56"/>
      <c r="EC133" s="2" t="e" vm="132">
        <v>#VALUE!</v>
      </c>
      <c r="EE133" s="10" cm="1">
        <f t="array" aca="1" ref="EE133" ca="1">_FV(EC133,"Ações em circulação",TRUE)</f>
        <v>1082621000</v>
      </c>
      <c r="EF133" s="18">
        <f>VLOOKUP(BP133,Fundamentus!A:U,5,FALSE)</f>
        <v>1.0129999999999999</v>
      </c>
      <c r="EG133" s="2">
        <f t="shared" ca="1" si="109"/>
        <v>36732165616.979271</v>
      </c>
      <c r="EH133" s="17">
        <v>1821915414.6021717</v>
      </c>
      <c r="EI133" s="17">
        <f t="shared" ca="1" si="110"/>
        <v>1821915414.6021717</v>
      </c>
      <c r="EK133" s="16">
        <f t="shared" ca="1" si="153"/>
        <v>0</v>
      </c>
      <c r="EL133" s="32" t="str">
        <f>IF(VLOOKUP(BP133,Fundamentus!A:U,3,FALSE)&lt;15,"Bom",IF(VLOOKUP(BP133,Fundamentus!A:U,3,FALSE)&gt;15,"Ruim","n/a"))</f>
        <v>Ruim</v>
      </c>
      <c r="EM133" s="28" t="str">
        <f>IF(VLOOKUP(BP133,Fundamentus!A:U,4,FALSE)&lt;1,"Baixo",IF(VLOOKUP(BP133,Fundamentus!A:U,4,FALSE)&lt;1.5,"Moderado",IF(VLOOKUP(BP133,Fundamentus!A:U,4,FALSE)&gt;1.5,"Alto","n/a")))</f>
        <v>Moderado</v>
      </c>
      <c r="EN133" s="17" t="str">
        <f>IF(VLOOKUP(BP133,Fundamentus!A:U,8,FALSE)&lt;0,"Risco elevado",IF(VLOOKUP(BP133,Fundamentus!A:U,8,FALSE)&lt;1,"Saudável",IF(VLOOKUP(BP133,Fundamentus!A:U,8,FALSE)&lt;3,"Estável",IF(VLOOKUP(BP133,Fundamentus!A:U,8,FALSE)&gt;3,"Alerta","n/a"))))</f>
        <v>Alerta</v>
      </c>
      <c r="EO133" s="28" t="str">
        <f t="shared" si="111"/>
        <v>Bom</v>
      </c>
      <c r="EP133" s="17" t="str">
        <f>IF(VLOOKUP(BP133,Fundamentus!A:U,12,FALSE)&lt;2,"Subvalorizada",IF(VLOOKUP(BP133,Fundamentus!A:U,12,FALSE)&lt;6,"Muita barata",IF(VLOOKUP(BP133,Fundamentus!A:U,12,FALSE)&lt;6,"Barata",IF(VLOOKUP(BP133,Fundamentus!A:U,12,FALSE)&lt;8,"Atrativa",IF(VLOOKUP(BP133,Fundamentus!A:U,12,FALSE)&gt;8,"Supervalorizada","n/a")))))</f>
        <v>Muita barata</v>
      </c>
      <c r="ER133" s="17" t="str">
        <f>IF(VLOOKUP(BP133,Fundamentus!A:U,17,FALSE)&lt;0.1,"Fraco retorno",IF(VLOOKUP(BP133,Fundamentus!A:U,17,FALSE)&gt;0.1,"Bom retorno","n/a"))</f>
        <v>Fraco retorno</v>
      </c>
      <c r="ES133" s="17" t="str">
        <f>IF(VLOOKUP(BP133,Fundamentus!A:U,16,FALSE)&lt;0.1,"Ineficiente",IF(VLOOKUP(BP133,Fundamentus!A:U,16,FALSE)&gt;0.1,"Eficiente","n/a"))</f>
        <v>Ineficiente</v>
      </c>
      <c r="ET133" s="33" t="str">
        <f>IF(VLOOKUP(BP133,Fundamentus!A:U,16,FALSE)&lt;0.1,"Oper. Ineficiente",IF(VLOOKUP(BP133,Fundamentus!A:U,16,FALSE)&gt;0.1,"Oper.Eficiente","n/a"))</f>
        <v>Oper. Ineficiente</v>
      </c>
      <c r="EU133" s="34">
        <f>VLOOKUP(BP133,Fundamentus!A:U,14,FALSE)</f>
        <v>4.9599999999999998E-2</v>
      </c>
      <c r="EV133" s="17" t="str">
        <f>IF(VLOOKUP(BP133,Fundamentus!A:U,21,FALSE)&lt;0,"Negativo",IF(VLOOKUP(BP133,Fundamentus!A:U,21,FALSE)&lt;0.05,"Fraco",IF(VLOOKUP(BP133,Fundamentus!A:U,21,FALSE)&lt;0.1,"Bom",IF(VLOOKUP(BP133,Fundamentus!A:U,21,FALSE)&gt;0.1,"Muito bom","n/a"))))</f>
        <v>Muito bom</v>
      </c>
      <c r="EX133" s="29" t="str">
        <f>IF(VLOOKUP(BP133,Fundamentus!A:U,15,FALSE)&gt;1,"Bom",IF(VLOOKUP(BP133,Fundamentus!A:U,15,FALSE)&lt;1,"Ruim","n/a"))</f>
        <v>Bom</v>
      </c>
      <c r="EY133" s="17" t="str">
        <f>IF(VLOOKUP(BP133,Fundamentus!A:U,20,FALSE)&lt;0.5,"Baixa",IF(VLOOKUP(BP133,Fundamentus!A:U,20,FALSE)&lt;1,"Moderada",IF(VLOOKUP(BP133,Fundamentus!A:U,20,FALSE)&lt;2,"Alerta",IF(VLOOKUP(BP133,Fundamentus!A:U,20,FALSE)&gt;2,"Alta","n/a"))))</f>
        <v>Alerta</v>
      </c>
      <c r="EZ133" s="10"/>
    </row>
    <row r="134" spans="1:156" s="2" customFormat="1" ht="11.25" x14ac:dyDescent="0.2">
      <c r="A134" s="4">
        <v>11.2</v>
      </c>
      <c r="B134" s="4">
        <v>10.39</v>
      </c>
      <c r="C134" s="4">
        <v>9.93</v>
      </c>
      <c r="D134" s="4">
        <v>9.9700000000000006</v>
      </c>
      <c r="E134" s="4">
        <v>9.51</v>
      </c>
      <c r="F134" s="4">
        <v>9.35</v>
      </c>
      <c r="G134" s="4">
        <v>9.33</v>
      </c>
      <c r="H134" s="4">
        <v>10.15</v>
      </c>
      <c r="I134" s="4">
        <v>11</v>
      </c>
      <c r="J134" s="4">
        <v>11.75</v>
      </c>
      <c r="K134" s="4">
        <v>12.28</v>
      </c>
      <c r="L134" s="4">
        <v>11.73</v>
      </c>
      <c r="M134" s="4">
        <v>10.98</v>
      </c>
      <c r="N134" s="4">
        <v>10.67</v>
      </c>
      <c r="O134" s="4">
        <v>11.18</v>
      </c>
      <c r="P134" s="4">
        <v>10.91</v>
      </c>
      <c r="Q134" s="4">
        <v>11.28</v>
      </c>
      <c r="R134" s="4">
        <v>11.01</v>
      </c>
      <c r="S134" s="4">
        <v>10.94</v>
      </c>
      <c r="T134" s="4">
        <v>11.14</v>
      </c>
      <c r="U134" s="4">
        <v>11.1</v>
      </c>
      <c r="V134" s="4">
        <v>10.9</v>
      </c>
      <c r="W134" s="4">
        <v>10.6</v>
      </c>
      <c r="X134" s="4">
        <v>10.73</v>
      </c>
      <c r="Y134" s="4">
        <v>10.89</v>
      </c>
      <c r="Z134" s="4">
        <v>10.93</v>
      </c>
      <c r="AA134" s="4">
        <v>10.4</v>
      </c>
      <c r="AB134" s="4">
        <v>10.47</v>
      </c>
      <c r="AC134" s="4">
        <v>10.53</v>
      </c>
      <c r="AD134" s="4">
        <v>10.62</v>
      </c>
      <c r="AE134" s="4">
        <v>10.42</v>
      </c>
      <c r="AF134" s="4">
        <v>10.210000000000001</v>
      </c>
      <c r="AG134" s="4">
        <v>10.23</v>
      </c>
      <c r="AH134" s="4">
        <v>9.77</v>
      </c>
      <c r="AI134" s="4">
        <v>9.89</v>
      </c>
      <c r="AJ134" s="4">
        <v>9.6999999999999993</v>
      </c>
      <c r="AK134" s="4">
        <v>8.9</v>
      </c>
      <c r="AL134" s="4">
        <v>8.1199999999999992</v>
      </c>
      <c r="AM134" s="4">
        <v>8.83</v>
      </c>
      <c r="AN134" s="4">
        <v>9.11</v>
      </c>
      <c r="AO134" s="4">
        <v>8.58</v>
      </c>
      <c r="AP134" s="4">
        <v>9.4499999999999993</v>
      </c>
      <c r="AQ134" s="4">
        <v>9.26</v>
      </c>
      <c r="AR134" s="4">
        <v>8.9700000000000006</v>
      </c>
      <c r="AS134" s="4">
        <v>9.1999999999999993</v>
      </c>
      <c r="AT134" s="4">
        <v>9.34</v>
      </c>
      <c r="AU134" s="4">
        <v>9.19</v>
      </c>
      <c r="AV134" s="4">
        <v>8.68</v>
      </c>
      <c r="AW134" s="4">
        <v>8.36</v>
      </c>
      <c r="AX134" s="4">
        <v>7.98</v>
      </c>
      <c r="AY134" s="12">
        <v>8.56</v>
      </c>
      <c r="AZ134" s="12">
        <v>9.2100000000000009</v>
      </c>
      <c r="BA134" s="12">
        <v>8.9700000000000006</v>
      </c>
      <c r="BB134" s="15">
        <v>8.52</v>
      </c>
      <c r="BC134" s="52">
        <v>8.2899999999999991</v>
      </c>
      <c r="BD134" s="52">
        <v>8.25</v>
      </c>
      <c r="BE134" s="52">
        <v>9.07</v>
      </c>
      <c r="BF134" s="52">
        <v>8.99</v>
      </c>
      <c r="BG134" s="67">
        <v>8.65</v>
      </c>
      <c r="BH134" s="52">
        <v>8.8000000000000007</v>
      </c>
      <c r="BI134" s="52">
        <v>8.6199999999999992</v>
      </c>
      <c r="BJ134" s="52">
        <v>8.77</v>
      </c>
      <c r="BK134" s="52">
        <v>8.0399999999999991</v>
      </c>
      <c r="BL134" s="52">
        <v>7.87</v>
      </c>
      <c r="BM134" s="52">
        <v>7.17</v>
      </c>
      <c r="BN134" s="52">
        <v>7.15</v>
      </c>
      <c r="BO134" s="52" cm="1">
        <f t="array" aca="1" ref="BO134" ca="1">_FV(EC134,"Preço")</f>
        <v>7.15</v>
      </c>
      <c r="BP134" s="69" t="s">
        <v>130</v>
      </c>
      <c r="BQ134" s="36" cm="1">
        <f t="array" aca="1" ref="BQ134" ca="1">_FV(EC134,"Média de volume",TRUE)</f>
        <v>4732770</v>
      </c>
      <c r="BR134" s="36">
        <v>3807600</v>
      </c>
      <c r="BS134" s="36" cm="1">
        <f t="array" aca="1" ref="BS134" ca="1">_FV(EC134,"Volume")</f>
        <v>3807600</v>
      </c>
      <c r="BT134" s="24" cm="1">
        <f t="array" aca="1" ref="BT134" ca="1">_FV(EC134,"Beta")</f>
        <v>0.82569999999999999</v>
      </c>
      <c r="BU134" s="71" cm="1">
        <f t="array" aca="1" ref="BU134" ca="1">_FV(EC134,"Variação (%)",TRUE)</f>
        <v>5.6259999999999999E-3</v>
      </c>
      <c r="BW134" s="17" cm="1">
        <f t="array" aca="1" ref="BW134" ca="1">_FV(EC134,"Baixo")</f>
        <v>7.13</v>
      </c>
      <c r="BX134" s="17" cm="1">
        <f t="array" aca="1" ref="BX134" ca="1">_FV(EC134,"Alto")</f>
        <v>7.3</v>
      </c>
      <c r="BY134" s="24"/>
      <c r="BZ134" s="63">
        <f ca="1">SQRT(22.5*(BO134/VLOOKUP(BP134,Fundamentus!A:U,3,FALSE))*(BO134/VLOOKUP(BP134,Fundamentus!A:U,4,FALSE)))</f>
        <v>14.084922126279507</v>
      </c>
      <c r="CB134" s="62">
        <f t="shared" ca="1" si="112"/>
        <v>0</v>
      </c>
      <c r="CC134" s="8"/>
      <c r="CD134" s="61">
        <f t="shared" si="113"/>
        <v>7.15</v>
      </c>
      <c r="CE134" s="61">
        <f t="shared" si="114"/>
        <v>12.28</v>
      </c>
      <c r="CF134" s="61">
        <f t="shared" si="115"/>
        <v>9.7119696969696943</v>
      </c>
      <c r="CG134" s="14"/>
      <c r="CH134" s="35">
        <f t="shared" ref="CH134:CH197" si="154">CI134-DY134*2</f>
        <v>5.5074239154406683</v>
      </c>
      <c r="CI134" s="15">
        <f t="shared" si="116"/>
        <v>6.7150000000001455</v>
      </c>
      <c r="CJ134" s="35">
        <f t="shared" ref="CJ134:CJ197" si="155">CI134+DY134*2</f>
        <v>7.9225760845596227</v>
      </c>
      <c r="CL134" s="14"/>
      <c r="CM134" s="17">
        <f t="shared" ref="CM134:CM197" si="156">CD134-2*(CE134-CP134)</f>
        <v>0.3100000000000005</v>
      </c>
      <c r="CN134" s="17">
        <f t="shared" ref="CN134:CN197" si="157">CP134-(CE134-CD134)</f>
        <v>3.7300000000000004</v>
      </c>
      <c r="CO134" s="17">
        <f t="shared" ref="CO134:CO197" si="158">2*CP134-CE134</f>
        <v>5.4399999999999995</v>
      </c>
      <c r="CP134" s="38">
        <f t="shared" si="117"/>
        <v>8.86</v>
      </c>
      <c r="CQ134" s="17">
        <f t="shared" ref="CQ134:CQ197" si="159">2*CP134-CD134</f>
        <v>10.569999999999999</v>
      </c>
      <c r="CR134" s="17">
        <f t="shared" ref="CR134:CR197" si="160">CP134+(CE134-CD134)</f>
        <v>13.989999999999998</v>
      </c>
      <c r="CS134" s="17">
        <f t="shared" ref="CS134:CS197" si="161">CE134+2*(CP134-CD134)</f>
        <v>15.699999999999998</v>
      </c>
      <c r="CT134" s="2" cm="1">
        <f t="array" aca="1" ref="CT134" ca="1">MAX(_xlfn._xlws.FILTER(CM134:CS134,CM134:CS134&lt;BO134))</f>
        <v>5.4399999999999995</v>
      </c>
      <c r="CU134" s="2" cm="1">
        <f t="array" aca="1" ref="CU134" ca="1">MIN(_xlfn._xlws.FILTER($CM134:$CS134,$CM134:$CS134&gt;BO134))</f>
        <v>8.86</v>
      </c>
      <c r="CV134" s="16">
        <f t="shared" ca="1" si="136"/>
        <v>0.62867647058823528</v>
      </c>
      <c r="CW134" s="20">
        <f t="shared" ca="1" si="137"/>
        <v>-0.31433823529411764</v>
      </c>
      <c r="CX134" s="20">
        <f t="shared" ca="1" si="138"/>
        <v>-0.20955882352941177</v>
      </c>
      <c r="CY134" s="20">
        <f t="shared" ca="1" si="139"/>
        <v>-0.12573529411764706</v>
      </c>
      <c r="CZ134" s="20">
        <f t="shared" ca="1" si="140"/>
        <v>-6.985294117647059E-2</v>
      </c>
      <c r="DA134" s="20">
        <f t="shared" ca="1" si="141"/>
        <v>-3.6980968858131485E-2</v>
      </c>
      <c r="DB134" s="20">
        <f t="shared" ca="1" si="142"/>
        <v>-1.9050802139037433E-2</v>
      </c>
      <c r="DC134" s="20">
        <f t="shared" ca="1" si="143"/>
        <v>-9.6719457013574664E-3</v>
      </c>
      <c r="DD134" s="21">
        <f t="shared" ca="1" si="144"/>
        <v>9.6719457013574664E-3</v>
      </c>
      <c r="DE134" s="21">
        <f t="shared" ca="1" si="145"/>
        <v>1.9050802139037433E-2</v>
      </c>
      <c r="DF134" s="21">
        <f t="shared" ca="1" si="146"/>
        <v>3.6980968858131485E-2</v>
      </c>
      <c r="DG134" s="21">
        <f t="shared" ca="1" si="147"/>
        <v>6.985294117647059E-2</v>
      </c>
      <c r="DH134" s="21">
        <f t="shared" ca="1" si="148"/>
        <v>0.12573529411764706</v>
      </c>
      <c r="DI134" s="21">
        <f t="shared" ca="1" si="149"/>
        <v>0.20955882352941177</v>
      </c>
      <c r="DJ134" s="21">
        <f t="shared" ca="1" si="150"/>
        <v>0.31433823529411764</v>
      </c>
      <c r="DL134" s="16" cm="1">
        <f t="array" aca="1" ref="DL134" ca="1">MAX(_xlfn._xlws.FILTER(CW134:DJ134,CW134:DJ134&lt;BU134))</f>
        <v>-9.6719457013574664E-3</v>
      </c>
      <c r="DM134" s="16" cm="1">
        <f t="array" aca="1" ref="DM134" ca="1">MIN(_xlfn._xlws.FILTER(CW134:DJ134,CW134:DJ134&gt;BU134))</f>
        <v>9.6719457013574664E-3</v>
      </c>
      <c r="DN134" s="2" cm="1">
        <f t="array" aca="1" ref="DN134" ca="1">_FV(EC134,"Fechamento anterior",TRUE)</f>
        <v>7.11</v>
      </c>
      <c r="DO134" s="28">
        <f t="shared" ref="DO134:DO197" ca="1" si="162">(BO134-DP134)/(DQ134-DP134)</f>
        <v>0.79083491663993577</v>
      </c>
      <c r="DP134" s="15">
        <f t="shared" ca="1" si="151"/>
        <v>7.0412324660633487</v>
      </c>
      <c r="DQ134" s="15">
        <f t="shared" ca="1" si="152"/>
        <v>7.1787675339366519</v>
      </c>
      <c r="DR134" s="9"/>
      <c r="DS134" s="9"/>
      <c r="DT134" s="9"/>
      <c r="DU134" s="89">
        <v>1.6456352636127904E-2</v>
      </c>
      <c r="DV134" s="89">
        <f t="shared" ref="DV134:DV197" ca="1" si="163">DM134-DL134</f>
        <v>1.9343891402714933E-2</v>
      </c>
      <c r="DW134" s="72">
        <f t="shared" ref="DW134:DW197" ca="1" si="164">(BO134-CI134)/(CI134-CH134)</f>
        <v>0.36022574938501079</v>
      </c>
      <c r="DX134" s="37"/>
      <c r="DY134" s="35">
        <f t="shared" si="118"/>
        <v>0.60378804227973881</v>
      </c>
      <c r="DZ134" s="56"/>
      <c r="EA134" s="56"/>
      <c r="EC134" s="2" t="e" vm="133">
        <v>#VALUE!</v>
      </c>
      <c r="EE134" s="10" cm="1">
        <f t="array" aca="1" ref="EE134" ca="1">_FV(EC134,"Ações em circulação",TRUE)</f>
        <v>355608600</v>
      </c>
      <c r="EF134" s="18">
        <f>VLOOKUP(BP134,Fundamentus!A:U,5,FALSE)</f>
        <v>0.191</v>
      </c>
      <c r="EG134" s="2">
        <f t="shared" ref="EG134:EG197" ca="1" si="165">(BO134*EE134)/EF134</f>
        <v>13312049685.863874</v>
      </c>
      <c r="EH134" s="17">
        <v>613685490.51832461</v>
      </c>
      <c r="EI134" s="17">
        <f t="shared" ref="EI134:EI197" ca="1" si="166">EG134*EU134</f>
        <v>613685490.51832461</v>
      </c>
      <c r="EK134" s="16">
        <f t="shared" ca="1" si="153"/>
        <v>0</v>
      </c>
      <c r="EL134" s="32" t="str">
        <f>IF(VLOOKUP(BP134,Fundamentus!A:U,3,FALSE)&lt;15,"Bom",IF(VLOOKUP(BP134,Fundamentus!A:U,3,FALSE)&gt;15,"Ruim","n/a"))</f>
        <v>Bom</v>
      </c>
      <c r="EM134" s="28" t="str">
        <f>IF(VLOOKUP(BP134,Fundamentus!A:U,4,FALSE)&lt;1,"Baixo",IF(VLOOKUP(BP134,Fundamentus!A:U,4,FALSE)&lt;1.5,"Moderado",IF(VLOOKUP(BP134,Fundamentus!A:U,4,FALSE)&gt;1.5,"Alto","n/a")))</f>
        <v>Baixo</v>
      </c>
      <c r="EN134" s="17" t="str">
        <f>IF(VLOOKUP(BP134,Fundamentus!A:U,8,FALSE)&lt;0,"Risco elevado",IF(VLOOKUP(BP134,Fundamentus!A:U,8,FALSE)&lt;1,"Saudável",IF(VLOOKUP(BP134,Fundamentus!A:U,8,FALSE)&lt;3,"Estável",IF(VLOOKUP(BP134,Fundamentus!A:U,8,FALSE)&gt;3,"Alerta","n/a"))))</f>
        <v>Saudável</v>
      </c>
      <c r="EO134" s="28" t="str">
        <f t="shared" ref="EO134:EO197" si="167">IF(EF134&gt;1,"Bom","Ruim")</f>
        <v>Ruim</v>
      </c>
      <c r="EP134" s="17" t="str">
        <f>IF(VLOOKUP(BP134,Fundamentus!A:U,12,FALSE)&lt;2,"Subvalorizada",IF(VLOOKUP(BP134,Fundamentus!A:U,12,FALSE)&lt;6,"Muita barata",IF(VLOOKUP(BP134,Fundamentus!A:U,12,FALSE)&lt;6,"Barata",IF(VLOOKUP(BP134,Fundamentus!A:U,12,FALSE)&lt;8,"Atrativa",IF(VLOOKUP(BP134,Fundamentus!A:U,12,FALSE)&gt;8,"Supervalorizada","n/a")))))</f>
        <v>Muita barata</v>
      </c>
      <c r="ER134" s="17" t="str">
        <f>IF(VLOOKUP(BP134,Fundamentus!A:U,17,FALSE)&lt;0.1,"Fraco retorno",IF(VLOOKUP(BP134,Fundamentus!A:U,17,FALSE)&gt;0.1,"Bom retorno","n/a"))</f>
        <v>Bom retorno</v>
      </c>
      <c r="ES134" s="17" t="str">
        <f>IF(VLOOKUP(BP134,Fundamentus!A:U,16,FALSE)&lt;0.1,"Ineficiente",IF(VLOOKUP(BP134,Fundamentus!A:U,16,FALSE)&gt;0.1,"Eficiente","n/a"))</f>
        <v>Ineficiente</v>
      </c>
      <c r="ET134" s="33" t="str">
        <f>IF(VLOOKUP(BP134,Fundamentus!A:U,16,FALSE)&lt;0.1,"Oper. Ineficiente",IF(VLOOKUP(BP134,Fundamentus!A:U,16,FALSE)&gt;0.1,"Oper.Eficiente","n/a"))</f>
        <v>Oper. Ineficiente</v>
      </c>
      <c r="EU134" s="34">
        <f>VLOOKUP(BP134,Fundamentus!A:U,14,FALSE)</f>
        <v>4.6100000000000002E-2</v>
      </c>
      <c r="EV134" s="17" t="str">
        <f>IF(VLOOKUP(BP134,Fundamentus!A:U,21,FALSE)&lt;0,"Negativo",IF(VLOOKUP(BP134,Fundamentus!A:U,21,FALSE)&lt;0.05,"Fraco",IF(VLOOKUP(BP134,Fundamentus!A:U,21,FALSE)&lt;0.1,"Bom",IF(VLOOKUP(BP134,Fundamentus!A:U,21,FALSE)&gt;0.1,"Muito bom","n/a"))))</f>
        <v>Muito bom</v>
      </c>
      <c r="EX134" s="29" t="str">
        <f>IF(VLOOKUP(BP134,Fundamentus!A:U,15,FALSE)&gt;1,"Bom",IF(VLOOKUP(BP134,Fundamentus!A:U,15,FALSE)&lt;1,"Ruim","n/a"))</f>
        <v>Bom</v>
      </c>
      <c r="EY134" s="17" t="str">
        <f>IF(VLOOKUP(BP134,Fundamentus!A:U,20,FALSE)&lt;0.5,"Baixa",IF(VLOOKUP(BP134,Fundamentus!A:U,20,FALSE)&lt;1,"Moderada",IF(VLOOKUP(BP134,Fundamentus!A:U,20,FALSE)&lt;2,"Alerta",IF(VLOOKUP(BP134,Fundamentus!A:U,20,FALSE)&gt;2,"Alta","n/a"))))</f>
        <v>Alta</v>
      </c>
      <c r="EZ134" s="10"/>
    </row>
    <row r="135" spans="1:156" s="2" customFormat="1" ht="11.25" x14ac:dyDescent="0.2">
      <c r="A135" s="4">
        <v>9.5</v>
      </c>
      <c r="B135" s="4">
        <v>9.26</v>
      </c>
      <c r="C135" s="4">
        <v>8.82</v>
      </c>
      <c r="D135" s="4">
        <v>8.5</v>
      </c>
      <c r="E135" s="4">
        <v>8.1999999999999993</v>
      </c>
      <c r="F135" s="4">
        <v>8.1</v>
      </c>
      <c r="G135" s="4">
        <v>7.91</v>
      </c>
      <c r="H135" s="4">
        <v>8.6300000000000008</v>
      </c>
      <c r="I135" s="4">
        <v>9.26</v>
      </c>
      <c r="J135" s="4">
        <v>10.1</v>
      </c>
      <c r="K135" s="4">
        <v>10.4</v>
      </c>
      <c r="L135" s="4">
        <v>9.85</v>
      </c>
      <c r="M135" s="4">
        <v>9.5500000000000007</v>
      </c>
      <c r="N135" s="4">
        <v>8.9</v>
      </c>
      <c r="O135" s="4">
        <v>9.3000000000000007</v>
      </c>
      <c r="P135" s="4">
        <v>8.85</v>
      </c>
      <c r="Q135" s="4">
        <v>9.06</v>
      </c>
      <c r="R135" s="4">
        <v>8.93</v>
      </c>
      <c r="S135" s="4">
        <v>8.6999999999999993</v>
      </c>
      <c r="T135" s="4">
        <v>8.84</v>
      </c>
      <c r="U135" s="4">
        <v>8.64</v>
      </c>
      <c r="V135" s="4">
        <v>8.85</v>
      </c>
      <c r="W135" s="4">
        <v>8.76</v>
      </c>
      <c r="X135" s="4">
        <v>8.74</v>
      </c>
      <c r="Y135" s="4">
        <v>9.14</v>
      </c>
      <c r="Z135" s="4">
        <v>9.39</v>
      </c>
      <c r="AA135" s="4">
        <v>9.15</v>
      </c>
      <c r="AB135" s="4">
        <v>9.32</v>
      </c>
      <c r="AC135" s="4">
        <v>9.35</v>
      </c>
      <c r="AD135" s="4">
        <v>9.07</v>
      </c>
      <c r="AE135" s="4">
        <v>8.89</v>
      </c>
      <c r="AF135" s="4">
        <v>8.73</v>
      </c>
      <c r="AG135" s="4">
        <v>8.6300000000000008</v>
      </c>
      <c r="AH135" s="4">
        <v>8.17</v>
      </c>
      <c r="AI135" s="4">
        <v>8.2100000000000009</v>
      </c>
      <c r="AJ135" s="4">
        <v>8.1999999999999993</v>
      </c>
      <c r="AK135" s="4">
        <v>7.97</v>
      </c>
      <c r="AL135" s="4">
        <v>7.46</v>
      </c>
      <c r="AM135" s="4">
        <v>7.89</v>
      </c>
      <c r="AN135" s="4">
        <v>8</v>
      </c>
      <c r="AO135" s="4">
        <v>7.8</v>
      </c>
      <c r="AP135" s="4">
        <v>8.5399999999999991</v>
      </c>
      <c r="AQ135" s="4">
        <v>8.27</v>
      </c>
      <c r="AR135" s="4">
        <v>8.3000000000000007</v>
      </c>
      <c r="AS135" s="4">
        <v>8.34</v>
      </c>
      <c r="AT135" s="4">
        <v>8.64</v>
      </c>
      <c r="AU135" s="4">
        <v>8.5500000000000007</v>
      </c>
      <c r="AV135" s="4">
        <v>8.08</v>
      </c>
      <c r="AW135" s="4">
        <v>7.95</v>
      </c>
      <c r="AX135" s="4">
        <v>7.83</v>
      </c>
      <c r="AY135" s="12">
        <v>8.06</v>
      </c>
      <c r="AZ135" s="12">
        <v>8.3000000000000007</v>
      </c>
      <c r="BA135" s="12">
        <v>8.1999999999999993</v>
      </c>
      <c r="BB135" s="15">
        <v>7.85</v>
      </c>
      <c r="BC135" s="52">
        <v>7.58</v>
      </c>
      <c r="BD135" s="52">
        <v>7.66</v>
      </c>
      <c r="BE135" s="52">
        <v>8.02</v>
      </c>
      <c r="BF135" s="52">
        <v>8.15</v>
      </c>
      <c r="BG135" s="67">
        <v>8.0299999999999994</v>
      </c>
      <c r="BH135" s="52">
        <v>8.3000000000000007</v>
      </c>
      <c r="BI135" s="52">
        <v>8.23</v>
      </c>
      <c r="BJ135" s="52">
        <v>8.27</v>
      </c>
      <c r="BK135" s="52">
        <v>7.91</v>
      </c>
      <c r="BL135" s="52">
        <v>7.65</v>
      </c>
      <c r="BM135" s="52">
        <v>7.08</v>
      </c>
      <c r="BN135" s="52">
        <v>6.97</v>
      </c>
      <c r="BO135" s="52" cm="1">
        <f t="array" aca="1" ref="BO135" ca="1">_FV(EC135,"Preço")</f>
        <v>6.97</v>
      </c>
      <c r="BP135" s="69" t="s">
        <v>131</v>
      </c>
      <c r="BQ135" s="36" cm="1">
        <f t="array" aca="1" ref="BQ135" ca="1">_FV(EC135,"Média de volume",TRUE)</f>
        <v>4732770</v>
      </c>
      <c r="BR135" s="36">
        <v>10400</v>
      </c>
      <c r="BS135" s="36" cm="1">
        <f t="array" aca="1" ref="BS135" ca="1">_FV(EC135,"Volume")</f>
        <v>10400</v>
      </c>
      <c r="BT135" s="24" cm="1">
        <f t="array" aca="1" ref="BT135" ca="1">_FV(EC135,"Beta")</f>
        <v>0.82569999999999999</v>
      </c>
      <c r="BU135" s="71" cm="1">
        <f t="array" aca="1" ref="BU135" ca="1">_FV(EC135,"Variação (%)",TRUE)</f>
        <v>4.3230000000000005E-3</v>
      </c>
      <c r="BW135" s="17" cm="1">
        <f t="array" aca="1" ref="BW135" ca="1">_FV(EC135,"Baixo")</f>
        <v>6.87</v>
      </c>
      <c r="BX135" s="17" cm="1">
        <f t="array" aca="1" ref="BX135" ca="1">_FV(EC135,"Alto")</f>
        <v>6.99</v>
      </c>
      <c r="BY135" s="24"/>
      <c r="BZ135" s="63">
        <f ca="1">SQRT(22.5*(BO135/VLOOKUP(BP135,Fundamentus!A:U,3,FALSE))*(BO135/VLOOKUP(BP135,Fundamentus!A:U,4,FALSE)))</f>
        <v>13.960117063300459</v>
      </c>
      <c r="CB135" s="62">
        <f t="shared" ref="CB135:CB198" ca="1" si="168">(BO135 - BN135) / BN135</f>
        <v>0</v>
      </c>
      <c r="CC135" s="8"/>
      <c r="CD135" s="61">
        <f t="shared" ref="CD135:CD198" si="169">MIN(A135:BN135)</f>
        <v>6.97</v>
      </c>
      <c r="CE135" s="61">
        <f t="shared" ref="CE135:CE198" si="170">MAX(A135:BN135)</f>
        <v>10.4</v>
      </c>
      <c r="CF135" s="61">
        <f t="shared" ref="CF135:CF198" si="171">AVERAGE(A135:BN135)</f>
        <v>8.51181818181818</v>
      </c>
      <c r="CG135" s="14"/>
      <c r="CH135" s="35">
        <f t="shared" si="154"/>
        <v>5.570349808307375</v>
      </c>
      <c r="CI135" s="15">
        <f t="shared" ref="CI135:CI198" si="172">FORECAST("08/08/2025", BK135:BN135, $BK$5:$BN$5)</f>
        <v>6.5549999999998363</v>
      </c>
      <c r="CJ135" s="35">
        <f t="shared" si="155"/>
        <v>7.5396501916922976</v>
      </c>
      <c r="CL135" s="14"/>
      <c r="CM135" s="17">
        <f t="shared" si="156"/>
        <v>2.3966666666666656</v>
      </c>
      <c r="CN135" s="17">
        <f t="shared" si="157"/>
        <v>4.6833333333333327</v>
      </c>
      <c r="CO135" s="17">
        <f t="shared" si="158"/>
        <v>5.8266666666666662</v>
      </c>
      <c r="CP135" s="38">
        <f t="shared" ref="CP135:CP198" si="173">(CE135+CD135+BN135)/3</f>
        <v>8.1133333333333333</v>
      </c>
      <c r="CQ135" s="17">
        <f t="shared" si="159"/>
        <v>9.2566666666666677</v>
      </c>
      <c r="CR135" s="17">
        <f t="shared" si="160"/>
        <v>11.543333333333333</v>
      </c>
      <c r="CS135" s="17">
        <f t="shared" si="161"/>
        <v>12.686666666666667</v>
      </c>
      <c r="CT135" s="2" cm="1">
        <f t="array" aca="1" ref="CT135" ca="1">MAX(_xlfn._xlws.FILTER(CM135:CS135,CM135:CS135&lt;BO135))</f>
        <v>5.8266666666666662</v>
      </c>
      <c r="CU135" s="2" cm="1">
        <f t="array" aca="1" ref="CU135" ca="1">MIN(_xlfn._xlws.FILTER($CM135:$CS135,$CM135:$CS135&gt;BO135))</f>
        <v>8.1133333333333333</v>
      </c>
      <c r="CV135" s="16">
        <f t="shared" ca="1" si="136"/>
        <v>0.39244851258581237</v>
      </c>
      <c r="CW135" s="20">
        <f t="shared" ca="1" si="137"/>
        <v>-0.19622425629290619</v>
      </c>
      <c r="CX135" s="20">
        <f t="shared" ca="1" si="138"/>
        <v>-0.13081617086193745</v>
      </c>
      <c r="CY135" s="20">
        <f t="shared" ca="1" si="139"/>
        <v>-7.8489702517162474E-2</v>
      </c>
      <c r="CZ135" s="20">
        <f t="shared" ca="1" si="140"/>
        <v>-4.3605390287312487E-2</v>
      </c>
      <c r="DA135" s="20">
        <f t="shared" ca="1" si="141"/>
        <v>-2.3085206622694844E-2</v>
      </c>
      <c r="DB135" s="20">
        <f t="shared" ca="1" si="142"/>
        <v>-1.1892379169267041E-2</v>
      </c>
      <c r="DC135" s="20">
        <f t="shared" ca="1" si="143"/>
        <v>-6.0376694243971137E-3</v>
      </c>
      <c r="DD135" s="21">
        <f t="shared" ca="1" si="144"/>
        <v>6.0376694243971137E-3</v>
      </c>
      <c r="DE135" s="21">
        <f t="shared" ca="1" si="145"/>
        <v>1.1892379169267041E-2</v>
      </c>
      <c r="DF135" s="21">
        <f t="shared" ca="1" si="146"/>
        <v>2.3085206622694844E-2</v>
      </c>
      <c r="DG135" s="21">
        <f t="shared" ca="1" si="147"/>
        <v>4.3605390287312487E-2</v>
      </c>
      <c r="DH135" s="21">
        <f t="shared" ca="1" si="148"/>
        <v>7.8489702517162474E-2</v>
      </c>
      <c r="DI135" s="21">
        <f t="shared" ca="1" si="149"/>
        <v>0.13081617086193745</v>
      </c>
      <c r="DJ135" s="21">
        <f t="shared" ca="1" si="150"/>
        <v>0.19622425629290619</v>
      </c>
      <c r="DL135" s="16" cm="1">
        <f t="array" aca="1" ref="DL135" ca="1">MAX(_xlfn._xlws.FILTER(CW135:DJ135,CW135:DJ135&lt;BU135))</f>
        <v>-6.0376694243971137E-3</v>
      </c>
      <c r="DM135" s="16" cm="1">
        <f t="array" aca="1" ref="DM135" ca="1">MIN(_xlfn._xlws.FILTER(CW135:DJ135,CW135:DJ135&gt;BU135))</f>
        <v>6.0376694243971137E-3</v>
      </c>
      <c r="DN135" s="2" cm="1">
        <f t="array" aca="1" ref="DN135" ca="1">_FV(EC135,"Fechamento anterior",TRUE)</f>
        <v>6.94</v>
      </c>
      <c r="DO135" s="28">
        <f t="shared" ca="1" si="162"/>
        <v>0.85798304500885914</v>
      </c>
      <c r="DP135" s="15">
        <f t="shared" ca="1" si="151"/>
        <v>6.8980985741946848</v>
      </c>
      <c r="DQ135" s="15">
        <f t="shared" ca="1" si="152"/>
        <v>6.981901425805316</v>
      </c>
      <c r="DR135" s="9"/>
      <c r="DS135" s="9"/>
      <c r="DT135" s="9"/>
      <c r="DU135" s="89">
        <v>9.7990152554685642E-3</v>
      </c>
      <c r="DV135" s="89">
        <f t="shared" ca="1" si="163"/>
        <v>1.2075338848794227E-2</v>
      </c>
      <c r="DW135" s="72">
        <f t="shared" ca="1" si="164"/>
        <v>0.42146947565900811</v>
      </c>
      <c r="DX135" s="37"/>
      <c r="DY135" s="35">
        <f t="shared" ref="DY135:DY198" si="174">_xlfn.STDEV.P(BJ135:BN135)</f>
        <v>0.49232509584623046</v>
      </c>
      <c r="DZ135" s="56"/>
      <c r="EA135" s="56"/>
      <c r="EC135" s="2" t="e" vm="134">
        <v>#VALUE!</v>
      </c>
      <c r="EE135" s="10" cm="1">
        <f t="array" aca="1" ref="EE135" ca="1">_FV(EC135,"Ações em circulação",TRUE)</f>
        <v>355608600</v>
      </c>
      <c r="EF135" s="18">
        <f>VLOOKUP(BP135,Fundamentus!A:U,5,FALSE)</f>
        <v>0.187</v>
      </c>
      <c r="EG135" s="2">
        <f t="shared" ca="1" si="165"/>
        <v>13254502363.636364</v>
      </c>
      <c r="EH135" s="17">
        <v>611032558.9636364</v>
      </c>
      <c r="EI135" s="17">
        <f t="shared" ca="1" si="166"/>
        <v>611032558.9636364</v>
      </c>
      <c r="EK135" s="16">
        <f t="shared" ca="1" si="153"/>
        <v>0</v>
      </c>
      <c r="EL135" s="32" t="str">
        <f>IF(VLOOKUP(BP135,Fundamentus!A:U,3,FALSE)&lt;15,"Bom",IF(VLOOKUP(BP135,Fundamentus!A:U,3,FALSE)&gt;15,"Ruim","n/a"))</f>
        <v>Bom</v>
      </c>
      <c r="EM135" s="28" t="str">
        <f>IF(VLOOKUP(BP135,Fundamentus!A:U,4,FALSE)&lt;1,"Baixo",IF(VLOOKUP(BP135,Fundamentus!A:U,4,FALSE)&lt;1.5,"Moderado",IF(VLOOKUP(BP135,Fundamentus!A:U,4,FALSE)&gt;1.5,"Alto","n/a")))</f>
        <v>Baixo</v>
      </c>
      <c r="EN135" s="17" t="str">
        <f>IF(VLOOKUP(BP135,Fundamentus!A:U,8,FALSE)&lt;0,"Risco elevado",IF(VLOOKUP(BP135,Fundamentus!A:U,8,FALSE)&lt;1,"Saudável",IF(VLOOKUP(BP135,Fundamentus!A:U,8,FALSE)&lt;3,"Estável",IF(VLOOKUP(BP135,Fundamentus!A:U,8,FALSE)&gt;3,"Alerta","n/a"))))</f>
        <v>Saudável</v>
      </c>
      <c r="EO135" s="28" t="str">
        <f t="shared" si="167"/>
        <v>Ruim</v>
      </c>
      <c r="EP135" s="17" t="str">
        <f>IF(VLOOKUP(BP135,Fundamentus!A:U,12,FALSE)&lt;2,"Subvalorizada",IF(VLOOKUP(BP135,Fundamentus!A:U,12,FALSE)&lt;6,"Muita barata",IF(VLOOKUP(BP135,Fundamentus!A:U,12,FALSE)&lt;6,"Barata",IF(VLOOKUP(BP135,Fundamentus!A:U,12,FALSE)&lt;8,"Atrativa",IF(VLOOKUP(BP135,Fundamentus!A:U,12,FALSE)&gt;8,"Supervalorizada","n/a")))))</f>
        <v>Muita barata</v>
      </c>
      <c r="ER135" s="17" t="str">
        <f>IF(VLOOKUP(BP135,Fundamentus!A:U,17,FALSE)&lt;0.1,"Fraco retorno",IF(VLOOKUP(BP135,Fundamentus!A:U,17,FALSE)&gt;0.1,"Bom retorno","n/a"))</f>
        <v>Bom retorno</v>
      </c>
      <c r="ES135" s="17" t="str">
        <f>IF(VLOOKUP(BP135,Fundamentus!A:U,16,FALSE)&lt;0.1,"Ineficiente",IF(VLOOKUP(BP135,Fundamentus!A:U,16,FALSE)&gt;0.1,"Eficiente","n/a"))</f>
        <v>Ineficiente</v>
      </c>
      <c r="ET135" s="33" t="str">
        <f>IF(VLOOKUP(BP135,Fundamentus!A:U,16,FALSE)&lt;0.1,"Oper. Ineficiente",IF(VLOOKUP(BP135,Fundamentus!A:U,16,FALSE)&gt;0.1,"Oper.Eficiente","n/a"))</f>
        <v>Oper. Ineficiente</v>
      </c>
      <c r="EU135" s="34">
        <f>VLOOKUP(BP135,Fundamentus!A:U,14,FALSE)</f>
        <v>4.6100000000000002E-2</v>
      </c>
      <c r="EV135" s="17" t="str">
        <f>IF(VLOOKUP(BP135,Fundamentus!A:U,21,FALSE)&lt;0,"Negativo",IF(VLOOKUP(BP135,Fundamentus!A:U,21,FALSE)&lt;0.05,"Fraco",IF(VLOOKUP(BP135,Fundamentus!A:U,21,FALSE)&lt;0.1,"Bom",IF(VLOOKUP(BP135,Fundamentus!A:U,21,FALSE)&gt;0.1,"Muito bom","n/a"))))</f>
        <v>Muito bom</v>
      </c>
      <c r="EX135" s="29" t="str">
        <f>IF(VLOOKUP(BP135,Fundamentus!A:U,15,FALSE)&gt;1,"Bom",IF(VLOOKUP(BP135,Fundamentus!A:U,15,FALSE)&lt;1,"Ruim","n/a"))</f>
        <v>Bom</v>
      </c>
      <c r="EY135" s="17" t="str">
        <f>IF(VLOOKUP(BP135,Fundamentus!A:U,20,FALSE)&lt;0.5,"Baixa",IF(VLOOKUP(BP135,Fundamentus!A:U,20,FALSE)&lt;1,"Moderada",IF(VLOOKUP(BP135,Fundamentus!A:U,20,FALSE)&lt;2,"Alerta",IF(VLOOKUP(BP135,Fundamentus!A:U,20,FALSE)&gt;2,"Alta","n/a"))))</f>
        <v>Alta</v>
      </c>
      <c r="EZ135" s="10"/>
    </row>
    <row r="136" spans="1:156" s="2" customFormat="1" ht="11.25" x14ac:dyDescent="0.2">
      <c r="A136" s="4">
        <v>2.2999999999999998</v>
      </c>
      <c r="B136" s="4">
        <v>2.06</v>
      </c>
      <c r="C136" s="4">
        <v>2.2400000000000002</v>
      </c>
      <c r="D136" s="4">
        <v>2.06</v>
      </c>
      <c r="E136" s="4">
        <v>2.1</v>
      </c>
      <c r="F136" s="4">
        <v>2.16</v>
      </c>
      <c r="G136" s="4">
        <v>2.09</v>
      </c>
      <c r="H136" s="4">
        <v>2.12</v>
      </c>
      <c r="I136" s="4">
        <v>2.17</v>
      </c>
      <c r="J136" s="4">
        <v>2.14</v>
      </c>
      <c r="K136" s="4">
        <v>2.62</v>
      </c>
      <c r="L136" s="4">
        <v>2.62</v>
      </c>
      <c r="M136" s="4">
        <v>2.75</v>
      </c>
      <c r="N136" s="4">
        <v>2.73</v>
      </c>
      <c r="O136" s="4">
        <v>3.08</v>
      </c>
      <c r="P136" s="4">
        <v>2.8</v>
      </c>
      <c r="Q136" s="4">
        <v>2.72</v>
      </c>
      <c r="R136" s="4">
        <v>2.94</v>
      </c>
      <c r="S136" s="4">
        <v>2.65</v>
      </c>
      <c r="T136" s="4">
        <v>2.78</v>
      </c>
      <c r="U136" s="4">
        <v>2.46</v>
      </c>
      <c r="V136" s="4">
        <v>2.7</v>
      </c>
      <c r="W136" s="4">
        <v>2.2400000000000002</v>
      </c>
      <c r="X136" s="4">
        <v>2.14</v>
      </c>
      <c r="Y136" s="4">
        <v>2.0299999999999998</v>
      </c>
      <c r="Z136" s="4">
        <v>2.09</v>
      </c>
      <c r="AA136" s="4">
        <v>2.09</v>
      </c>
      <c r="AB136" s="4">
        <v>1.95</v>
      </c>
      <c r="AC136" s="4">
        <v>2.09</v>
      </c>
      <c r="AD136" s="4">
        <v>2.2000000000000002</v>
      </c>
      <c r="AE136" s="4">
        <v>1.96</v>
      </c>
      <c r="AF136" s="4">
        <v>1.77</v>
      </c>
      <c r="AG136" s="4">
        <v>1.59</v>
      </c>
      <c r="AH136" s="4">
        <v>1.43</v>
      </c>
      <c r="AI136" s="4">
        <v>1.48</v>
      </c>
      <c r="AJ136" s="4">
        <v>1.41</v>
      </c>
      <c r="AK136" s="4">
        <v>1.43</v>
      </c>
      <c r="AL136" s="4">
        <v>1.52</v>
      </c>
      <c r="AM136" s="4">
        <v>1.54</v>
      </c>
      <c r="AN136" s="4">
        <v>1.59</v>
      </c>
      <c r="AO136" s="4">
        <v>1.35</v>
      </c>
      <c r="AP136" s="4">
        <v>1.41</v>
      </c>
      <c r="AQ136" s="4">
        <v>1.39</v>
      </c>
      <c r="AR136" s="4">
        <v>1.39</v>
      </c>
      <c r="AS136" s="4">
        <v>1.32</v>
      </c>
      <c r="AT136" s="4">
        <v>1.2</v>
      </c>
      <c r="AU136" s="4">
        <v>1.1599999999999999</v>
      </c>
      <c r="AV136" s="4">
        <v>1.1399999999999999</v>
      </c>
      <c r="AW136" s="4">
        <v>1.03</v>
      </c>
      <c r="AX136" s="4">
        <v>1</v>
      </c>
      <c r="AY136" s="12">
        <v>1.04</v>
      </c>
      <c r="AZ136" s="12">
        <v>1.1599999999999999</v>
      </c>
      <c r="BA136" s="12">
        <v>1.06</v>
      </c>
      <c r="BB136" s="15">
        <v>1</v>
      </c>
      <c r="BC136" s="52">
        <v>1.01</v>
      </c>
      <c r="BD136" s="52">
        <v>0.94</v>
      </c>
      <c r="BE136" s="52">
        <v>0.98</v>
      </c>
      <c r="BF136" s="52">
        <v>0.97</v>
      </c>
      <c r="BG136" s="67">
        <v>0.96</v>
      </c>
      <c r="BH136" s="52">
        <v>0.99</v>
      </c>
      <c r="BI136" s="52">
        <v>0.89</v>
      </c>
      <c r="BJ136" s="52">
        <v>0.88</v>
      </c>
      <c r="BK136" s="52">
        <v>1.0900000000000001</v>
      </c>
      <c r="BL136" s="52">
        <v>1</v>
      </c>
      <c r="BM136" s="52">
        <v>1</v>
      </c>
      <c r="BN136" s="52">
        <v>1.2</v>
      </c>
      <c r="BO136" s="52" cm="1">
        <f t="array" aca="1" ref="BO136" ca="1">_FV(EC136,"Preço")</f>
        <v>1.2</v>
      </c>
      <c r="BP136" s="69" t="s">
        <v>132</v>
      </c>
      <c r="BQ136" s="36" cm="1">
        <f t="array" aca="1" ref="BQ136" ca="1">_FV(EC136,"Média de volume",TRUE)</f>
        <v>704890</v>
      </c>
      <c r="BR136" s="36">
        <v>1479100</v>
      </c>
      <c r="BS136" s="36" cm="1">
        <f t="array" aca="1" ref="BS136" ca="1">_FV(EC136,"Volume")</f>
        <v>1479100</v>
      </c>
      <c r="BT136" s="24" cm="1">
        <f t="array" aca="1" ref="BT136" ca="1">_FV(EC136,"Beta")</f>
        <v>1.4021999999999999</v>
      </c>
      <c r="BU136" s="71" cm="1">
        <f t="array" aca="1" ref="BU136" ca="1">_FV(EC136,"Variação (%)",TRUE)</f>
        <v>4.3478000000000003E-2</v>
      </c>
      <c r="BW136" s="17" cm="1">
        <f t="array" aca="1" ref="BW136" ca="1">_FV(EC136,"Baixo")</f>
        <v>1.1000000000000001</v>
      </c>
      <c r="BX136" s="17" cm="1">
        <f t="array" aca="1" ref="BX136" ca="1">_FV(EC136,"Alto")</f>
        <v>1.24</v>
      </c>
      <c r="BY136" s="24"/>
      <c r="BZ136" s="63" t="e">
        <f ca="1">SQRT(22.5*(BO136/VLOOKUP(BP136,Fundamentus!A:U,3,FALSE))*(BO136/VLOOKUP(BP136,Fundamentus!A:U,4,FALSE)))</f>
        <v>#N/A</v>
      </c>
      <c r="CB136" s="62">
        <f t="shared" ca="1" si="168"/>
        <v>0</v>
      </c>
      <c r="CC136" s="8"/>
      <c r="CD136" s="61">
        <f t="shared" si="169"/>
        <v>0.88</v>
      </c>
      <c r="CE136" s="61">
        <f t="shared" si="170"/>
        <v>3.08</v>
      </c>
      <c r="CF136" s="61">
        <f t="shared" si="171"/>
        <v>1.7484848484848485</v>
      </c>
      <c r="CG136" s="14"/>
      <c r="CH136" s="35">
        <f t="shared" si="154"/>
        <v>0.94198356870889166</v>
      </c>
      <c r="CI136" s="15">
        <f t="shared" si="172"/>
        <v>1.1550000000000011</v>
      </c>
      <c r="CJ136" s="35">
        <f t="shared" si="155"/>
        <v>1.3680164312911107</v>
      </c>
      <c r="CL136" s="14"/>
      <c r="CM136" s="17">
        <f t="shared" si="156"/>
        <v>-1.8400000000000003</v>
      </c>
      <c r="CN136" s="17">
        <f t="shared" si="157"/>
        <v>-0.4800000000000002</v>
      </c>
      <c r="CO136" s="17">
        <f t="shared" si="158"/>
        <v>0.35999999999999988</v>
      </c>
      <c r="CP136" s="38">
        <f t="shared" si="173"/>
        <v>1.72</v>
      </c>
      <c r="CQ136" s="17">
        <f t="shared" si="159"/>
        <v>2.56</v>
      </c>
      <c r="CR136" s="17">
        <f t="shared" si="160"/>
        <v>3.92</v>
      </c>
      <c r="CS136" s="17">
        <f t="shared" si="161"/>
        <v>4.76</v>
      </c>
      <c r="CT136" s="2" cm="1">
        <f t="array" aca="1" ref="CT136" ca="1">MAX(_xlfn._xlws.FILTER(CM136:CS136,CM136:CS136&lt;BO136))</f>
        <v>0.35999999999999988</v>
      </c>
      <c r="CU136" s="2" cm="1">
        <f t="array" aca="1" ref="CU136" ca="1">MIN(_xlfn._xlws.FILTER($CM136:$CS136,$CM136:$CS136&gt;BO136))</f>
        <v>1.72</v>
      </c>
      <c r="CV136" s="16">
        <f t="shared" ca="1" si="136"/>
        <v>3.7777777777777795</v>
      </c>
      <c r="CW136" s="20">
        <f t="shared" ca="1" si="137"/>
        <v>-1.8888888888888897</v>
      </c>
      <c r="CX136" s="20">
        <f t="shared" ca="1" si="138"/>
        <v>-1.2592592592592597</v>
      </c>
      <c r="CY136" s="20">
        <f t="shared" ca="1" si="139"/>
        <v>-0.75555555555555587</v>
      </c>
      <c r="CZ136" s="20">
        <f t="shared" ca="1" si="140"/>
        <v>-0.41975308641975329</v>
      </c>
      <c r="DA136" s="20">
        <f t="shared" ca="1" si="141"/>
        <v>-0.22222222222222232</v>
      </c>
      <c r="DB136" s="20">
        <f t="shared" ca="1" si="142"/>
        <v>-0.11447811447811453</v>
      </c>
      <c r="DC136" s="20">
        <f t="shared" ca="1" si="143"/>
        <v>-5.8119658119658142E-2</v>
      </c>
      <c r="DD136" s="21">
        <f t="shared" ca="1" si="144"/>
        <v>5.8119658119658142E-2</v>
      </c>
      <c r="DE136" s="21">
        <f t="shared" ca="1" si="145"/>
        <v>0.11447811447811453</v>
      </c>
      <c r="DF136" s="21">
        <f t="shared" ca="1" si="146"/>
        <v>0.22222222222222232</v>
      </c>
      <c r="DG136" s="21">
        <f t="shared" ca="1" si="147"/>
        <v>0.41975308641975329</v>
      </c>
      <c r="DH136" s="21">
        <f t="shared" ca="1" si="148"/>
        <v>0.75555555555555587</v>
      </c>
      <c r="DI136" s="21">
        <f t="shared" ca="1" si="149"/>
        <v>1.2592592592592597</v>
      </c>
      <c r="DJ136" s="21">
        <f t="shared" ca="1" si="150"/>
        <v>1.8888888888888897</v>
      </c>
      <c r="DL136" s="16" cm="1">
        <f t="array" aca="1" ref="DL136" ca="1">MAX(_xlfn._xlws.FILTER(CW136:DJ136,CW136:DJ136&lt;BU136))</f>
        <v>-5.8119658119658142E-2</v>
      </c>
      <c r="DM136" s="16" cm="1">
        <f t="array" aca="1" ref="DM136" ca="1">MIN(_xlfn._xlws.FILTER(CW136:DJ136,CW136:DJ136&gt;BU136))</f>
        <v>5.8119658119658142E-2</v>
      </c>
      <c r="DN136" s="2" cm="1">
        <f t="array" aca="1" ref="DN136" ca="1">_FV(EC136,"Fechamento anterior",TRUE)</f>
        <v>1.1499999999999999</v>
      </c>
      <c r="DO136" s="28">
        <f t="shared" ca="1" si="162"/>
        <v>0.87404092071611272</v>
      </c>
      <c r="DP136" s="15">
        <f t="shared" ca="1" si="151"/>
        <v>1.083162393162393</v>
      </c>
      <c r="DQ136" s="15">
        <f t="shared" ca="1" si="152"/>
        <v>1.2168376068376068</v>
      </c>
      <c r="DR136" s="9"/>
      <c r="DS136" s="9"/>
      <c r="DT136" s="9"/>
      <c r="DU136" s="89">
        <v>0.19366515837104084</v>
      </c>
      <c r="DV136" s="89">
        <f t="shared" ca="1" si="163"/>
        <v>0.11623931623931628</v>
      </c>
      <c r="DW136" s="72">
        <f t="shared" ca="1" si="164"/>
        <v>0.21125130924056071</v>
      </c>
      <c r="DX136" s="37"/>
      <c r="DY136" s="35">
        <f t="shared" si="174"/>
        <v>0.10650821564555475</v>
      </c>
      <c r="DZ136" s="56"/>
      <c r="EA136" s="56"/>
      <c r="EC136" s="2" t="e" vm="135">
        <v>#VALUE!</v>
      </c>
      <c r="EE136" s="10" cm="1">
        <f t="array" aca="1" ref="EE136" ca="1">_FV(EC136,"Ações em circulação",TRUE)</f>
        <v>122763400</v>
      </c>
      <c r="EF136" s="18" t="e">
        <f>VLOOKUP(BP136,Fundamentus!A:U,5,FALSE)</f>
        <v>#N/A</v>
      </c>
      <c r="EG136" s="2" t="e">
        <f t="shared" ca="1" si="165"/>
        <v>#N/A</v>
      </c>
      <c r="EH136" s="17" t="e">
        <v>#N/A</v>
      </c>
      <c r="EI136" s="17" t="e">
        <f t="shared" ca="1" si="166"/>
        <v>#N/A</v>
      </c>
      <c r="EK136" s="16" t="e">
        <f t="shared" ca="1" si="153"/>
        <v>#N/A</v>
      </c>
      <c r="EL136" s="32" t="e">
        <f>IF(VLOOKUP(BP136,Fundamentus!A:U,3,FALSE)&lt;15,"Bom",IF(VLOOKUP(BP136,Fundamentus!A:U,3,FALSE)&gt;15,"Ruim","n/a"))</f>
        <v>#N/A</v>
      </c>
      <c r="EM136" s="28" t="e">
        <f>IF(VLOOKUP(BP136,Fundamentus!A:U,4,FALSE)&lt;1,"Baixo",IF(VLOOKUP(BP136,Fundamentus!A:U,4,FALSE)&lt;1.5,"Moderado",IF(VLOOKUP(BP136,Fundamentus!A:U,4,FALSE)&gt;1.5,"Alto","n/a")))</f>
        <v>#N/A</v>
      </c>
      <c r="EN136" s="17" t="e">
        <f>IF(VLOOKUP(BP136,Fundamentus!A:U,8,FALSE)&lt;0,"Risco elevado",IF(VLOOKUP(BP136,Fundamentus!A:U,8,FALSE)&lt;1,"Saudável",IF(VLOOKUP(BP136,Fundamentus!A:U,8,FALSE)&lt;3,"Estável",IF(VLOOKUP(BP136,Fundamentus!A:U,8,FALSE)&gt;3,"Alerta","n/a"))))</f>
        <v>#N/A</v>
      </c>
      <c r="EO136" s="28" t="e">
        <f t="shared" si="167"/>
        <v>#N/A</v>
      </c>
      <c r="EP136" s="17" t="e">
        <f>IF(VLOOKUP(BP136,Fundamentus!A:U,12,FALSE)&lt;2,"Subvalorizada",IF(VLOOKUP(BP136,Fundamentus!A:U,12,FALSE)&lt;6,"Muita barata",IF(VLOOKUP(BP136,Fundamentus!A:U,12,FALSE)&lt;6,"Barata",IF(VLOOKUP(BP136,Fundamentus!A:U,12,FALSE)&lt;8,"Atrativa",IF(VLOOKUP(BP136,Fundamentus!A:U,12,FALSE)&gt;8,"Supervalorizada","n/a")))))</f>
        <v>#N/A</v>
      </c>
      <c r="ER136" s="17" t="e">
        <f>IF(VLOOKUP(BP136,Fundamentus!A:U,17,FALSE)&lt;0.1,"Fraco retorno",IF(VLOOKUP(BP136,Fundamentus!A:U,17,FALSE)&gt;0.1,"Bom retorno","n/a"))</f>
        <v>#N/A</v>
      </c>
      <c r="ES136" s="17" t="e">
        <f>IF(VLOOKUP(BP136,Fundamentus!A:U,16,FALSE)&lt;0.1,"Ineficiente",IF(VLOOKUP(BP136,Fundamentus!A:U,16,FALSE)&gt;0.1,"Eficiente","n/a"))</f>
        <v>#N/A</v>
      </c>
      <c r="ET136" s="33" t="e">
        <f>IF(VLOOKUP(BP136,Fundamentus!A:U,16,FALSE)&lt;0.1,"Oper. Ineficiente",IF(VLOOKUP(BP136,Fundamentus!A:U,16,FALSE)&gt;0.1,"Oper.Eficiente","n/a"))</f>
        <v>#N/A</v>
      </c>
      <c r="EU136" s="34" t="e">
        <f>VLOOKUP(BP136,Fundamentus!A:U,14,FALSE)</f>
        <v>#N/A</v>
      </c>
      <c r="EV136" s="17" t="e">
        <f>IF(VLOOKUP(BP136,Fundamentus!A:U,21,FALSE)&lt;0,"Negativo",IF(VLOOKUP(BP136,Fundamentus!A:U,21,FALSE)&lt;0.05,"Fraco",IF(VLOOKUP(BP136,Fundamentus!A:U,21,FALSE)&lt;0.1,"Bom",IF(VLOOKUP(BP136,Fundamentus!A:U,21,FALSE)&gt;0.1,"Muito bom","n/a"))))</f>
        <v>#N/A</v>
      </c>
      <c r="EX136" s="29" t="e">
        <f>IF(VLOOKUP(BP136,Fundamentus!A:U,15,FALSE)&gt;1,"Bom",IF(VLOOKUP(BP136,Fundamentus!A:U,15,FALSE)&lt;1,"Ruim","n/a"))</f>
        <v>#N/A</v>
      </c>
      <c r="EY136" s="17" t="e">
        <f>IF(VLOOKUP(BP136,Fundamentus!A:U,20,FALSE)&lt;0.5,"Baixa",IF(VLOOKUP(BP136,Fundamentus!A:U,20,FALSE)&lt;1,"Moderada",IF(VLOOKUP(BP136,Fundamentus!A:U,20,FALSE)&lt;2,"Alerta",IF(VLOOKUP(BP136,Fundamentus!A:U,20,FALSE)&gt;2,"Alta","n/a"))))</f>
        <v>#N/A</v>
      </c>
      <c r="EZ136" s="10"/>
    </row>
    <row r="137" spans="1:156" s="2" customFormat="1" ht="11.25" x14ac:dyDescent="0.2">
      <c r="A137" s="4">
        <v>11.42</v>
      </c>
      <c r="B137" s="4">
        <v>11.27</v>
      </c>
      <c r="C137" s="4">
        <v>11.3</v>
      </c>
      <c r="D137" s="4">
        <v>10.99</v>
      </c>
      <c r="E137" s="4">
        <v>10.7</v>
      </c>
      <c r="F137" s="4">
        <v>10</v>
      </c>
      <c r="G137" s="4">
        <v>9.99</v>
      </c>
      <c r="H137" s="4">
        <v>10.34</v>
      </c>
      <c r="I137" s="4">
        <v>10.66</v>
      </c>
      <c r="J137" s="4">
        <v>10.59</v>
      </c>
      <c r="K137" s="4">
        <v>10.73</v>
      </c>
      <c r="L137" s="4">
        <v>11.06</v>
      </c>
      <c r="M137" s="4">
        <v>10.62</v>
      </c>
      <c r="N137" s="4">
        <v>10.19</v>
      </c>
      <c r="O137" s="4">
        <v>10.18</v>
      </c>
      <c r="P137" s="4">
        <v>10.06</v>
      </c>
      <c r="Q137" s="4">
        <v>10.55</v>
      </c>
      <c r="R137" s="4">
        <v>10.49</v>
      </c>
      <c r="S137" s="4">
        <v>10.48</v>
      </c>
      <c r="T137" s="4">
        <v>10.77</v>
      </c>
      <c r="U137" s="4">
        <v>10.43</v>
      </c>
      <c r="V137" s="4">
        <v>10.87</v>
      </c>
      <c r="W137" s="4">
        <v>10.86</v>
      </c>
      <c r="X137" s="4">
        <v>10.47</v>
      </c>
      <c r="Y137" s="4">
        <v>10.15</v>
      </c>
      <c r="Z137" s="4">
        <v>10.08</v>
      </c>
      <c r="AA137" s="4">
        <v>10.17</v>
      </c>
      <c r="AB137" s="4">
        <v>11.45</v>
      </c>
      <c r="AC137" s="4">
        <v>11.06</v>
      </c>
      <c r="AD137" s="4">
        <v>10.99</v>
      </c>
      <c r="AE137" s="4">
        <v>11.46</v>
      </c>
      <c r="AF137" s="4">
        <v>11.57</v>
      </c>
      <c r="AG137" s="4">
        <v>11.3</v>
      </c>
      <c r="AH137" s="4">
        <v>10.62</v>
      </c>
      <c r="AI137" s="4">
        <v>10.32</v>
      </c>
      <c r="AJ137" s="4">
        <v>9.75</v>
      </c>
      <c r="AK137" s="4">
        <v>9.41</v>
      </c>
      <c r="AL137" s="4">
        <v>9.69</v>
      </c>
      <c r="AM137" s="4">
        <v>9.81</v>
      </c>
      <c r="AN137" s="4">
        <v>9.6199999999999992</v>
      </c>
      <c r="AO137" s="4">
        <v>9.35</v>
      </c>
      <c r="AP137" s="4">
        <v>9.73</v>
      </c>
      <c r="AQ137" s="4">
        <v>8.9499999999999993</v>
      </c>
      <c r="AR137" s="4">
        <v>9.17</v>
      </c>
      <c r="AS137" s="4">
        <v>9.2200000000000006</v>
      </c>
      <c r="AT137" s="4">
        <v>9.36</v>
      </c>
      <c r="AU137" s="4">
        <v>9.4499999999999993</v>
      </c>
      <c r="AV137" s="4">
        <v>9.34</v>
      </c>
      <c r="AW137" s="4">
        <v>8.35</v>
      </c>
      <c r="AX137" s="4">
        <v>8.16</v>
      </c>
      <c r="AY137" s="12">
        <v>8.3000000000000007</v>
      </c>
      <c r="AZ137" s="12">
        <v>8.59</v>
      </c>
      <c r="BA137" s="12">
        <v>8.41</v>
      </c>
      <c r="BB137" s="15">
        <v>8.35</v>
      </c>
      <c r="BC137" s="52">
        <v>8.67</v>
      </c>
      <c r="BD137" s="52">
        <v>8.51</v>
      </c>
      <c r="BE137" s="52">
        <v>8.36</v>
      </c>
      <c r="BF137" s="52">
        <v>9.2200000000000006</v>
      </c>
      <c r="BG137" s="67">
        <v>9.19</v>
      </c>
      <c r="BH137" s="52">
        <v>8.91</v>
      </c>
      <c r="BI137" s="52">
        <v>8.82</v>
      </c>
      <c r="BJ137" s="52">
        <v>9.3699999999999992</v>
      </c>
      <c r="BK137" s="52">
        <v>9.32</v>
      </c>
      <c r="BL137" s="52">
        <v>9</v>
      </c>
      <c r="BM137" s="52">
        <v>9.5399999999999991</v>
      </c>
      <c r="BN137" s="52">
        <v>8.99</v>
      </c>
      <c r="BO137" s="52" cm="1">
        <f t="array" aca="1" ref="BO137" ca="1">_FV(EC137,"Preço")</f>
        <v>8.99</v>
      </c>
      <c r="BP137" s="69" t="s">
        <v>133</v>
      </c>
      <c r="BQ137" s="36" cm="1">
        <f t="array" aca="1" ref="BQ137" ca="1">_FV(EC137,"Média de volume",TRUE)</f>
        <v>7844830</v>
      </c>
      <c r="BR137" s="36">
        <v>16258100</v>
      </c>
      <c r="BS137" s="36" cm="1">
        <f t="array" aca="1" ref="BS137" ca="1">_FV(EC137,"Volume")</f>
        <v>16258100</v>
      </c>
      <c r="BT137" s="24" cm="1">
        <f t="array" aca="1" ref="BT137" ca="1">_FV(EC137,"Beta")</f>
        <v>0.69350000000000001</v>
      </c>
      <c r="BU137" s="71" cm="1">
        <f t="array" aca="1" ref="BU137" ca="1">_FV(EC137,"Variação (%)",TRUE)</f>
        <v>-4.0555000000000001E-2</v>
      </c>
      <c r="BW137" s="17" cm="1">
        <f t="array" aca="1" ref="BW137" ca="1">_FV(EC137,"Baixo")</f>
        <v>8.93</v>
      </c>
      <c r="BX137" s="17" cm="1">
        <f t="array" aca="1" ref="BX137" ca="1">_FV(EC137,"Alto")</f>
        <v>9.4600000000000009</v>
      </c>
      <c r="BY137" s="24"/>
      <c r="BZ137" s="63">
        <f ca="1">SQRT(22.5*(BO137/VLOOKUP(BP137,Fundamentus!A:U,3,FALSE))*(BO137/VLOOKUP(BP137,Fundamentus!A:U,4,FALSE)))</f>
        <v>20.809540943061386</v>
      </c>
      <c r="CB137" s="62">
        <f t="shared" ca="1" si="168"/>
        <v>0</v>
      </c>
      <c r="CC137" s="8"/>
      <c r="CD137" s="61">
        <f t="shared" si="169"/>
        <v>8.16</v>
      </c>
      <c r="CE137" s="61">
        <f t="shared" si="170"/>
        <v>11.57</v>
      </c>
      <c r="CF137" s="61">
        <f t="shared" si="171"/>
        <v>9.9257575757575776</v>
      </c>
      <c r="CG137" s="14"/>
      <c r="CH137" s="35">
        <f t="shared" si="154"/>
        <v>8.6679629645504583</v>
      </c>
      <c r="CI137" s="15">
        <f t="shared" si="172"/>
        <v>9.0999999999999659</v>
      </c>
      <c r="CJ137" s="35">
        <f t="shared" si="155"/>
        <v>9.5320370354494734</v>
      </c>
      <c r="CL137" s="14"/>
      <c r="CM137" s="17">
        <f t="shared" si="156"/>
        <v>4.1666666666666643</v>
      </c>
      <c r="CN137" s="17">
        <f t="shared" si="157"/>
        <v>6.1633333333333322</v>
      </c>
      <c r="CO137" s="17">
        <f t="shared" si="158"/>
        <v>7.5766666666666644</v>
      </c>
      <c r="CP137" s="38">
        <f t="shared" si="173"/>
        <v>9.5733333333333324</v>
      </c>
      <c r="CQ137" s="17">
        <f t="shared" si="159"/>
        <v>10.986666666666665</v>
      </c>
      <c r="CR137" s="17">
        <f t="shared" si="160"/>
        <v>12.983333333333333</v>
      </c>
      <c r="CS137" s="17">
        <f t="shared" si="161"/>
        <v>14.396666666666665</v>
      </c>
      <c r="CT137" s="2" cm="1">
        <f t="array" aca="1" ref="CT137" ca="1">MAX(_xlfn._xlws.FILTER(CM137:CS137,CM137:CS137&lt;BO137))</f>
        <v>7.5766666666666644</v>
      </c>
      <c r="CU137" s="2" cm="1">
        <f t="array" aca="1" ref="CU137" ca="1">MIN(_xlfn._xlws.FILTER($CM137:$CS137,$CM137:$CS137&gt;BO137))</f>
        <v>9.5733333333333324</v>
      </c>
      <c r="CV137" s="16">
        <f t="shared" ca="1" si="136"/>
        <v>0.26352837659480888</v>
      </c>
      <c r="CW137" s="20">
        <f t="shared" ca="1" si="137"/>
        <v>-0.13176418829740444</v>
      </c>
      <c r="CX137" s="20">
        <f t="shared" ca="1" si="138"/>
        <v>-8.7842792198269626E-2</v>
      </c>
      <c r="CY137" s="20">
        <f t="shared" ca="1" si="139"/>
        <v>-5.2705675318961774E-2</v>
      </c>
      <c r="CZ137" s="20">
        <f t="shared" ca="1" si="140"/>
        <v>-2.9280930732756543E-2</v>
      </c>
      <c r="DA137" s="20">
        <f t="shared" ca="1" si="141"/>
        <v>-1.5501669211459346E-2</v>
      </c>
      <c r="DB137" s="20">
        <f t="shared" ca="1" si="142"/>
        <v>-7.9857083816608759E-3</v>
      </c>
      <c r="DC137" s="20">
        <f t="shared" ca="1" si="143"/>
        <v>-4.0542827168432135E-3</v>
      </c>
      <c r="DD137" s="21">
        <f t="shared" ca="1" si="144"/>
        <v>4.0542827168432135E-3</v>
      </c>
      <c r="DE137" s="21">
        <f t="shared" ca="1" si="145"/>
        <v>7.9857083816608759E-3</v>
      </c>
      <c r="DF137" s="21">
        <f t="shared" ca="1" si="146"/>
        <v>1.5501669211459346E-2</v>
      </c>
      <c r="DG137" s="21">
        <f t="shared" ca="1" si="147"/>
        <v>2.9280930732756543E-2</v>
      </c>
      <c r="DH137" s="21">
        <f t="shared" ca="1" si="148"/>
        <v>5.2705675318961774E-2</v>
      </c>
      <c r="DI137" s="21">
        <f t="shared" ca="1" si="149"/>
        <v>8.7842792198269626E-2</v>
      </c>
      <c r="DJ137" s="21">
        <f t="shared" ca="1" si="150"/>
        <v>0.13176418829740444</v>
      </c>
      <c r="DL137" s="16" cm="1">
        <f t="array" aca="1" ref="DL137" ca="1">MAX(_xlfn._xlws.FILTER(CW137:DJ137,CW137:DJ137&lt;BU137))</f>
        <v>-5.2705675318961774E-2</v>
      </c>
      <c r="DM137" s="16" cm="1">
        <f t="array" aca="1" ref="DM137" ca="1">MIN(_xlfn._xlws.FILTER(CW137:DJ137,CW137:DJ137&gt;BU137))</f>
        <v>-2.9280930732756543E-2</v>
      </c>
      <c r="DN137" s="2" cm="1">
        <f t="array" aca="1" ref="DN137" ca="1">_FV(EC137,"Fechamento anterior",TRUE)</f>
        <v>9.3699999999999992</v>
      </c>
      <c r="DO137" s="28">
        <f t="shared" ca="1" si="162"/>
        <v>0.51871270687717641</v>
      </c>
      <c r="DP137" s="15">
        <f t="shared" ca="1" si="151"/>
        <v>8.876147822261327</v>
      </c>
      <c r="DQ137" s="15">
        <f t="shared" ca="1" si="152"/>
        <v>9.0956376790340698</v>
      </c>
      <c r="DR137" s="9"/>
      <c r="DS137" s="9"/>
      <c r="DT137" s="9"/>
      <c r="DU137" s="89">
        <v>7.4968169085816161E-3</v>
      </c>
      <c r="DV137" s="89">
        <f t="shared" ca="1" si="163"/>
        <v>2.3424744586205231E-2</v>
      </c>
      <c r="DW137" s="72">
        <f t="shared" ca="1" si="164"/>
        <v>-0.25460780204992739</v>
      </c>
      <c r="DX137" s="37"/>
      <c r="DY137" s="35">
        <f t="shared" si="174"/>
        <v>0.21601851772475397</v>
      </c>
      <c r="DZ137" s="56"/>
      <c r="EA137" s="56"/>
      <c r="EC137" s="2" t="e" vm="136">
        <v>#VALUE!</v>
      </c>
      <c r="EE137" s="10" cm="1">
        <f t="array" aca="1" ref="EE137" ca="1">_FV(EC137,"Ações em circulação",TRUE)</f>
        <v>993705800</v>
      </c>
      <c r="EF137" s="18">
        <f>VLOOKUP(BP137,Fundamentus!A:U,5,FALSE)</f>
        <v>0.14000000000000001</v>
      </c>
      <c r="EG137" s="2">
        <f t="shared" ca="1" si="165"/>
        <v>63810108157.142853</v>
      </c>
      <c r="EH137" s="17">
        <v>3101171256.4371424</v>
      </c>
      <c r="EI137" s="17">
        <f t="shared" ca="1" si="166"/>
        <v>3101171256.4371424</v>
      </c>
      <c r="EK137" s="16">
        <f t="shared" ca="1" si="153"/>
        <v>0</v>
      </c>
      <c r="EL137" s="32" t="str">
        <f>IF(VLOOKUP(BP137,Fundamentus!A:U,3,FALSE)&lt;15,"Bom",IF(VLOOKUP(BP137,Fundamentus!A:U,3,FALSE)&gt;15,"Ruim","n/a"))</f>
        <v>Bom</v>
      </c>
      <c r="EM137" s="28" t="str">
        <f>IF(VLOOKUP(BP137,Fundamentus!A:U,4,FALSE)&lt;1,"Baixo",IF(VLOOKUP(BP137,Fundamentus!A:U,4,FALSE)&lt;1.5,"Moderado",IF(VLOOKUP(BP137,Fundamentus!A:U,4,FALSE)&gt;1.5,"Alto","n/a")))</f>
        <v>Baixo</v>
      </c>
      <c r="EN137" s="17" t="str">
        <f>IF(VLOOKUP(BP137,Fundamentus!A:U,8,FALSE)&lt;0,"Risco elevado",IF(VLOOKUP(BP137,Fundamentus!A:U,8,FALSE)&lt;1,"Saudável",IF(VLOOKUP(BP137,Fundamentus!A:U,8,FALSE)&lt;3,"Estável",IF(VLOOKUP(BP137,Fundamentus!A:U,8,FALSE)&gt;3,"Alerta","n/a"))))</f>
        <v>Saudável</v>
      </c>
      <c r="EO137" s="28" t="str">
        <f t="shared" si="167"/>
        <v>Ruim</v>
      </c>
      <c r="EP137" s="17" t="str">
        <f>IF(VLOOKUP(BP137,Fundamentus!A:U,12,FALSE)&lt;2,"Subvalorizada",IF(VLOOKUP(BP137,Fundamentus!A:U,12,FALSE)&lt;6,"Muita barata",IF(VLOOKUP(BP137,Fundamentus!A:U,12,FALSE)&lt;6,"Barata",IF(VLOOKUP(BP137,Fundamentus!A:U,12,FALSE)&lt;8,"Atrativa",IF(VLOOKUP(BP137,Fundamentus!A:U,12,FALSE)&gt;8,"Supervalorizada","n/a")))))</f>
        <v>Subvalorizada</v>
      </c>
      <c r="ER137" s="17" t="str">
        <f>IF(VLOOKUP(BP137,Fundamentus!A:U,17,FALSE)&lt;0.1,"Fraco retorno",IF(VLOOKUP(BP137,Fundamentus!A:U,17,FALSE)&gt;0.1,"Bom retorno","n/a"))</f>
        <v>Fraco retorno</v>
      </c>
      <c r="ES137" s="17" t="str">
        <f>IF(VLOOKUP(BP137,Fundamentus!A:U,16,FALSE)&lt;0.1,"Ineficiente",IF(VLOOKUP(BP137,Fundamentus!A:U,16,FALSE)&gt;0.1,"Eficiente","n/a"))</f>
        <v>Ineficiente</v>
      </c>
      <c r="ET137" s="33" t="str">
        <f>IF(VLOOKUP(BP137,Fundamentus!A:U,16,FALSE)&lt;0.1,"Oper. Ineficiente",IF(VLOOKUP(BP137,Fundamentus!A:U,16,FALSE)&gt;0.1,"Oper.Eficiente","n/a"))</f>
        <v>Oper. Ineficiente</v>
      </c>
      <c r="EU137" s="34">
        <f>VLOOKUP(BP137,Fundamentus!A:U,14,FALSE)</f>
        <v>4.8599999999999997E-2</v>
      </c>
      <c r="EV137" s="17" t="str">
        <f>IF(VLOOKUP(BP137,Fundamentus!A:U,21,FALSE)&lt;0,"Negativo",IF(VLOOKUP(BP137,Fundamentus!A:U,21,FALSE)&lt;0.05,"Fraco",IF(VLOOKUP(BP137,Fundamentus!A:U,21,FALSE)&lt;0.1,"Bom",IF(VLOOKUP(BP137,Fundamentus!A:U,21,FALSE)&gt;0.1,"Muito bom","n/a"))))</f>
        <v>Fraco</v>
      </c>
      <c r="EX137" s="29" t="str">
        <f>IF(VLOOKUP(BP137,Fundamentus!A:U,15,FALSE)&gt;1,"Bom",IF(VLOOKUP(BP137,Fundamentus!A:U,15,FALSE)&lt;1,"Ruim","n/a"))</f>
        <v>Bom</v>
      </c>
      <c r="EY137" s="17" t="str">
        <f>IF(VLOOKUP(BP137,Fundamentus!A:U,20,FALSE)&lt;0.5,"Baixa",IF(VLOOKUP(BP137,Fundamentus!A:U,20,FALSE)&lt;1,"Moderada",IF(VLOOKUP(BP137,Fundamentus!A:U,20,FALSE)&lt;2,"Alerta",IF(VLOOKUP(BP137,Fundamentus!A:U,20,FALSE)&gt;2,"Alta","n/a"))))</f>
        <v>Moderada</v>
      </c>
      <c r="EZ137" s="10"/>
    </row>
    <row r="138" spans="1:156" s="2" customFormat="1" ht="11.25" x14ac:dyDescent="0.2">
      <c r="A138" s="4">
        <v>4.57</v>
      </c>
      <c r="B138" s="4">
        <v>4.54</v>
      </c>
      <c r="C138" s="4">
        <v>4.46</v>
      </c>
      <c r="D138" s="4">
        <v>4.4000000000000004</v>
      </c>
      <c r="E138" s="4">
        <v>4.3099999999999996</v>
      </c>
      <c r="F138" s="4">
        <v>4.08</v>
      </c>
      <c r="G138" s="4">
        <v>4.16</v>
      </c>
      <c r="H138" s="4">
        <v>4.0199999999999996</v>
      </c>
      <c r="I138" s="4">
        <v>3.99</v>
      </c>
      <c r="J138" s="4">
        <v>3.9</v>
      </c>
      <c r="K138" s="4">
        <v>4</v>
      </c>
      <c r="L138" s="4">
        <v>4.1399999999999997</v>
      </c>
      <c r="M138" s="4">
        <v>4.1900000000000004</v>
      </c>
      <c r="N138" s="4">
        <v>4.1399999999999997</v>
      </c>
      <c r="O138" s="4">
        <v>4.2</v>
      </c>
      <c r="P138" s="4">
        <v>4.0999999999999996</v>
      </c>
      <c r="Q138" s="4">
        <v>4.17</v>
      </c>
      <c r="R138" s="4">
        <v>4.37</v>
      </c>
      <c r="S138" s="4">
        <v>4.4000000000000004</v>
      </c>
      <c r="T138" s="4">
        <v>4.18</v>
      </c>
      <c r="U138" s="4">
        <v>4.21</v>
      </c>
      <c r="V138" s="4">
        <v>4.1900000000000004</v>
      </c>
      <c r="W138" s="4">
        <v>4.18</v>
      </c>
      <c r="X138" s="4">
        <v>4.1100000000000003</v>
      </c>
      <c r="Y138" s="4">
        <v>4.12</v>
      </c>
      <c r="Z138" s="4">
        <v>4.1500000000000004</v>
      </c>
      <c r="AA138" s="4">
        <v>4.05</v>
      </c>
      <c r="AB138" s="4">
        <v>4.04</v>
      </c>
      <c r="AC138" s="4">
        <v>4</v>
      </c>
      <c r="AD138" s="4">
        <v>4.03</v>
      </c>
      <c r="AE138" s="4">
        <v>4.12</v>
      </c>
      <c r="AF138" s="4">
        <v>4</v>
      </c>
      <c r="AG138" s="4">
        <v>3.98</v>
      </c>
      <c r="AH138" s="4">
        <v>4</v>
      </c>
      <c r="AI138" s="4">
        <v>4.0999999999999996</v>
      </c>
      <c r="AJ138" s="4">
        <v>4.0599999999999996</v>
      </c>
      <c r="AK138" s="4">
        <v>3.95</v>
      </c>
      <c r="AL138" s="4">
        <v>4</v>
      </c>
      <c r="AM138" s="4">
        <v>4</v>
      </c>
      <c r="AN138" s="4">
        <v>4.1500000000000004</v>
      </c>
      <c r="AO138" s="4">
        <v>4.0999999999999996</v>
      </c>
      <c r="AP138" s="4">
        <v>4.12</v>
      </c>
      <c r="AQ138" s="4">
        <v>4.0999999999999996</v>
      </c>
      <c r="AR138" s="4">
        <v>4.09</v>
      </c>
      <c r="AS138" s="4">
        <v>4</v>
      </c>
      <c r="AT138" s="4">
        <v>3.99</v>
      </c>
      <c r="AU138" s="4">
        <v>4.0199999999999996</v>
      </c>
      <c r="AV138" s="4">
        <v>3.94</v>
      </c>
      <c r="AW138" s="4">
        <v>3.94</v>
      </c>
      <c r="AX138" s="4">
        <v>3.9</v>
      </c>
      <c r="AY138" s="12">
        <v>3.73</v>
      </c>
      <c r="AZ138" s="12">
        <v>3.76</v>
      </c>
      <c r="BA138" s="12">
        <v>3.9</v>
      </c>
      <c r="BB138" s="15">
        <v>3.75</v>
      </c>
      <c r="BC138" s="52">
        <v>4.09</v>
      </c>
      <c r="BD138" s="52">
        <v>4.05</v>
      </c>
      <c r="BE138" s="52">
        <v>3.85</v>
      </c>
      <c r="BF138" s="52">
        <v>3.99</v>
      </c>
      <c r="BG138" s="67">
        <v>3.98</v>
      </c>
      <c r="BH138" s="52">
        <v>3.83</v>
      </c>
      <c r="BI138" s="52">
        <v>3.95</v>
      </c>
      <c r="BJ138" s="52">
        <v>4</v>
      </c>
      <c r="BK138" s="52">
        <v>4.33</v>
      </c>
      <c r="BL138" s="52">
        <v>4.25</v>
      </c>
      <c r="BM138" s="52">
        <v>4.3</v>
      </c>
      <c r="BN138" s="52">
        <v>4</v>
      </c>
      <c r="BO138" s="52" cm="1">
        <f t="array" aca="1" ref="BO138" ca="1">_FV(EC138,"Preço")</f>
        <v>4</v>
      </c>
      <c r="BP138" s="69" t="s">
        <v>134</v>
      </c>
      <c r="BQ138" s="36" t="e" cm="1" vm="3">
        <f t="array" ref="BQ138">_FV(EC138,"Média de volume",TRUE)</f>
        <v>#VALUE!</v>
      </c>
      <c r="BR138" s="36">
        <v>1200</v>
      </c>
      <c r="BS138" s="36" cm="1">
        <f t="array" aca="1" ref="BS138" ca="1">_FV(EC138,"Volume")</f>
        <v>1200</v>
      </c>
      <c r="BT138" s="24" t="e" cm="1" vm="137">
        <f t="array" ref="BT138">_FV(EC138,"Beta")</f>
        <v>#VALUE!</v>
      </c>
      <c r="BU138" s="71" cm="1">
        <f t="array" aca="1" ref="BU138" ca="1">_FV(EC138,"Variação (%)",TRUE)</f>
        <v>-6.7599000000000006E-2</v>
      </c>
      <c r="BW138" s="17" cm="1">
        <f t="array" aca="1" ref="BW138" ca="1">_FV(EC138,"Baixo")</f>
        <v>4</v>
      </c>
      <c r="BX138" s="17" cm="1">
        <f t="array" aca="1" ref="BX138" ca="1">_FV(EC138,"Alto")</f>
        <v>4.01</v>
      </c>
      <c r="BY138" s="24"/>
      <c r="BZ138" s="63" t="e">
        <f ca="1">SQRT(22.5*(BO138/VLOOKUP(BP138,Fundamentus!A:U,3,FALSE))*(BO138/VLOOKUP(BP138,Fundamentus!A:U,4,FALSE)))</f>
        <v>#NUM!</v>
      </c>
      <c r="CB138" s="62">
        <f t="shared" ca="1" si="168"/>
        <v>0</v>
      </c>
      <c r="CC138" s="8"/>
      <c r="CD138" s="61">
        <f t="shared" si="169"/>
        <v>3.73</v>
      </c>
      <c r="CE138" s="61">
        <f t="shared" si="170"/>
        <v>4.57</v>
      </c>
      <c r="CF138" s="61">
        <f t="shared" si="171"/>
        <v>4.0866666666666669</v>
      </c>
      <c r="CG138" s="14"/>
      <c r="CH138" s="35">
        <f t="shared" si="154"/>
        <v>3.6930822033517106</v>
      </c>
      <c r="CI138" s="15">
        <f t="shared" si="172"/>
        <v>3.9850000000000136</v>
      </c>
      <c r="CJ138" s="35">
        <f t="shared" si="155"/>
        <v>4.2769177966483163</v>
      </c>
      <c r="CL138" s="14"/>
      <c r="CM138" s="17">
        <f t="shared" si="156"/>
        <v>2.7900000000000005</v>
      </c>
      <c r="CN138" s="17">
        <f t="shared" si="157"/>
        <v>3.2600000000000002</v>
      </c>
      <c r="CO138" s="17">
        <f t="shared" si="158"/>
        <v>3.6300000000000008</v>
      </c>
      <c r="CP138" s="38">
        <f t="shared" si="173"/>
        <v>4.1000000000000005</v>
      </c>
      <c r="CQ138" s="17">
        <f t="shared" si="159"/>
        <v>4.4700000000000006</v>
      </c>
      <c r="CR138" s="17">
        <f t="shared" si="160"/>
        <v>4.9400000000000013</v>
      </c>
      <c r="CS138" s="17">
        <f t="shared" si="161"/>
        <v>5.3100000000000014</v>
      </c>
      <c r="CT138" s="2" cm="1">
        <f t="array" aca="1" ref="CT138" ca="1">MAX(_xlfn._xlws.FILTER(CM138:CS138,CM138:CS138&lt;BO138))</f>
        <v>3.6300000000000008</v>
      </c>
      <c r="CU138" s="2" cm="1">
        <f t="array" aca="1" ref="CU138" ca="1">MIN(_xlfn._xlws.FILTER($CM138:$CS138,$CM138:$CS138&gt;BO138))</f>
        <v>4.1000000000000005</v>
      </c>
      <c r="CV138" s="16">
        <f t="shared" ca="1" si="136"/>
        <v>0.12947658402203843</v>
      </c>
      <c r="CW138" s="20">
        <f t="shared" ca="1" si="137"/>
        <v>-6.4738292011019216E-2</v>
      </c>
      <c r="CX138" s="20">
        <f t="shared" ca="1" si="138"/>
        <v>-4.3158861340679477E-2</v>
      </c>
      <c r="CY138" s="20">
        <f t="shared" ca="1" si="139"/>
        <v>-2.5895316804407688E-2</v>
      </c>
      <c r="CZ138" s="20">
        <f t="shared" ca="1" si="140"/>
        <v>-1.4386287113559826E-2</v>
      </c>
      <c r="DA138" s="20">
        <f t="shared" ca="1" si="141"/>
        <v>-7.6162696483552022E-3</v>
      </c>
      <c r="DB138" s="20">
        <f t="shared" ca="1" si="142"/>
        <v>-3.92353284915268E-3</v>
      </c>
      <c r="DC138" s="20">
        <f t="shared" ca="1" si="143"/>
        <v>-1.9919474464928991E-3</v>
      </c>
      <c r="DD138" s="21">
        <f t="shared" ca="1" si="144"/>
        <v>1.9919474464928991E-3</v>
      </c>
      <c r="DE138" s="21">
        <f t="shared" ca="1" si="145"/>
        <v>3.92353284915268E-3</v>
      </c>
      <c r="DF138" s="21">
        <f t="shared" ca="1" si="146"/>
        <v>7.6162696483552022E-3</v>
      </c>
      <c r="DG138" s="21">
        <f t="shared" ca="1" si="147"/>
        <v>1.4386287113559826E-2</v>
      </c>
      <c r="DH138" s="21">
        <f t="shared" ca="1" si="148"/>
        <v>2.5895316804407688E-2</v>
      </c>
      <c r="DI138" s="21">
        <f t="shared" ca="1" si="149"/>
        <v>4.3158861340679477E-2</v>
      </c>
      <c r="DJ138" s="21">
        <f t="shared" ca="1" si="150"/>
        <v>6.4738292011019216E-2</v>
      </c>
      <c r="DL138" s="16" t="e" cm="1" vm="4">
        <f t="array" aca="1" ref="DL138" ca="1">MAX(_xlfn._xlws.FILTER(CW138:DJ138,CW138:DJ138&lt;BU138))</f>
        <v>#VALUE!</v>
      </c>
      <c r="DM138" s="16" cm="1">
        <f t="array" aca="1" ref="DM138" ca="1">MIN(_xlfn._xlws.FILTER(CW138:DJ138,CW138:DJ138&gt;BU138))</f>
        <v>-6.4738292011019216E-2</v>
      </c>
      <c r="DN138" s="2" cm="1">
        <f t="array" aca="1" ref="DN138" ca="1">_FV(EC138,"Fechamento anterior",TRUE)</f>
        <v>4.29</v>
      </c>
      <c r="DO138" s="28" t="e" vm="5">
        <f t="shared" ca="1" si="162"/>
        <v>#VALUE!</v>
      </c>
      <c r="DP138" s="15" t="e" vm="5">
        <f t="shared" ca="1" si="151"/>
        <v>#VALUE!</v>
      </c>
      <c r="DQ138" s="15">
        <f t="shared" ca="1" si="152"/>
        <v>4.0122727272727277</v>
      </c>
      <c r="DR138" s="9"/>
      <c r="DS138" s="9"/>
      <c r="DT138" s="9"/>
      <c r="DU138" s="89">
        <v>1.6166569154616969E-3</v>
      </c>
      <c r="DV138" s="89" t="e" vm="5">
        <f t="shared" ca="1" si="163"/>
        <v>#VALUE!</v>
      </c>
      <c r="DW138" s="72">
        <f t="shared" ca="1" si="164"/>
        <v>5.1384328643923234E-2</v>
      </c>
      <c r="DX138" s="37"/>
      <c r="DY138" s="35">
        <f t="shared" si="174"/>
        <v>0.14595889832415151</v>
      </c>
      <c r="DZ138" s="56"/>
      <c r="EA138" s="56"/>
      <c r="EC138" s="2" t="e" vm="138">
        <v>#VALUE!</v>
      </c>
      <c r="EE138" s="10" cm="1">
        <f t="array" aca="1" ref="EE138" ca="1">_FV(EC138,"Ações em circulação",TRUE)</f>
        <v>75645290</v>
      </c>
      <c r="EF138" s="18">
        <f>VLOOKUP(BP138,Fundamentus!A:U,5,FALSE)</f>
        <v>0.50700000000000001</v>
      </c>
      <c r="EG138" s="2">
        <f t="shared" ca="1" si="165"/>
        <v>596807021.69625247</v>
      </c>
      <c r="EH138" s="17">
        <v>-3879245.641025641</v>
      </c>
      <c r="EI138" s="17">
        <f t="shared" ca="1" si="166"/>
        <v>-3879245.641025641</v>
      </c>
      <c r="EK138" s="16">
        <f t="shared" ca="1" si="153"/>
        <v>0</v>
      </c>
      <c r="EL138" s="32" t="str">
        <f>IF(VLOOKUP(BP138,Fundamentus!A:U,3,FALSE)&lt;15,"Bom",IF(VLOOKUP(BP138,Fundamentus!A:U,3,FALSE)&gt;15,"Ruim","n/a"))</f>
        <v>Bom</v>
      </c>
      <c r="EM138" s="28" t="str">
        <f>IF(VLOOKUP(BP138,Fundamentus!A:U,4,FALSE)&lt;1,"Baixo",IF(VLOOKUP(BP138,Fundamentus!A:U,4,FALSE)&lt;1.5,"Moderado",IF(VLOOKUP(BP138,Fundamentus!A:U,4,FALSE)&gt;1.5,"Alto","n/a")))</f>
        <v>Baixo</v>
      </c>
      <c r="EN138" s="17" t="str">
        <f>IF(VLOOKUP(BP138,Fundamentus!A:U,8,FALSE)&lt;0,"Risco elevado",IF(VLOOKUP(BP138,Fundamentus!A:U,8,FALSE)&lt;1,"Saudável",IF(VLOOKUP(BP138,Fundamentus!A:U,8,FALSE)&lt;3,"Estável",IF(VLOOKUP(BP138,Fundamentus!A:U,8,FALSE)&gt;3,"Alerta","n/a"))))</f>
        <v>Saudável</v>
      </c>
      <c r="EO138" s="28" t="str">
        <f t="shared" si="167"/>
        <v>Ruim</v>
      </c>
      <c r="EP138" s="17" t="str">
        <f>IF(VLOOKUP(BP138,Fundamentus!A:U,12,FALSE)&lt;2,"Subvalorizada",IF(VLOOKUP(BP138,Fundamentus!A:U,12,FALSE)&lt;6,"Muita barata",IF(VLOOKUP(BP138,Fundamentus!A:U,12,FALSE)&lt;6,"Barata",IF(VLOOKUP(BP138,Fundamentus!A:U,12,FALSE)&lt;8,"Atrativa",IF(VLOOKUP(BP138,Fundamentus!A:U,12,FALSE)&gt;8,"Supervalorizada","n/a")))))</f>
        <v>Subvalorizada</v>
      </c>
      <c r="ER138" s="17" t="str">
        <f>IF(VLOOKUP(BP138,Fundamentus!A:U,17,FALSE)&lt;0.1,"Fraco retorno",IF(VLOOKUP(BP138,Fundamentus!A:U,17,FALSE)&gt;0.1,"Bom retorno","n/a"))</f>
        <v>Fraco retorno</v>
      </c>
      <c r="ES138" s="17" t="str">
        <f>IF(VLOOKUP(BP138,Fundamentus!A:U,16,FALSE)&lt;0.1,"Ineficiente",IF(VLOOKUP(BP138,Fundamentus!A:U,16,FALSE)&gt;0.1,"Eficiente","n/a"))</f>
        <v>Ineficiente</v>
      </c>
      <c r="ET138" s="33" t="str">
        <f>IF(VLOOKUP(BP138,Fundamentus!A:U,16,FALSE)&lt;0.1,"Oper. Ineficiente",IF(VLOOKUP(BP138,Fundamentus!A:U,16,FALSE)&gt;0.1,"Oper.Eficiente","n/a"))</f>
        <v>Oper. Ineficiente</v>
      </c>
      <c r="EU138" s="34">
        <f>VLOOKUP(BP138,Fundamentus!A:U,14,FALSE)</f>
        <v>-6.4999999999999997E-3</v>
      </c>
      <c r="EV138" s="17" t="str">
        <f>IF(VLOOKUP(BP138,Fundamentus!A:U,21,FALSE)&lt;0,"Negativo",IF(VLOOKUP(BP138,Fundamentus!A:U,21,FALSE)&lt;0.05,"Fraco",IF(VLOOKUP(BP138,Fundamentus!A:U,21,FALSE)&lt;0.1,"Bom",IF(VLOOKUP(BP138,Fundamentus!A:U,21,FALSE)&gt;0.1,"Muito bom","n/a"))))</f>
        <v>Fraco</v>
      </c>
      <c r="EX138" s="29" t="str">
        <f>IF(VLOOKUP(BP138,Fundamentus!A:U,15,FALSE)&gt;1,"Bom",IF(VLOOKUP(BP138,Fundamentus!A:U,15,FALSE)&lt;1,"Ruim","n/a"))</f>
        <v>Bom</v>
      </c>
      <c r="EY138" s="17" t="str">
        <f>IF(VLOOKUP(BP138,Fundamentus!A:U,20,FALSE)&lt;0.5,"Baixa",IF(VLOOKUP(BP138,Fundamentus!A:U,20,FALSE)&lt;1,"Moderada",IF(VLOOKUP(BP138,Fundamentus!A:U,20,FALSE)&lt;2,"Alerta",IF(VLOOKUP(BP138,Fundamentus!A:U,20,FALSE)&gt;2,"Alta","n/a"))))</f>
        <v>Baixa</v>
      </c>
      <c r="EZ138" s="10"/>
    </row>
    <row r="139" spans="1:156" s="2" customFormat="1" ht="11.25" x14ac:dyDescent="0.2">
      <c r="A139" s="4">
        <v>16.72</v>
      </c>
      <c r="B139" s="4">
        <v>18.91</v>
      </c>
      <c r="C139" s="4">
        <v>19.36</v>
      </c>
      <c r="D139" s="4">
        <v>19.02</v>
      </c>
      <c r="E139" s="4">
        <v>18.53</v>
      </c>
      <c r="F139" s="4">
        <v>18.329999999999998</v>
      </c>
      <c r="G139" s="4">
        <v>18.63</v>
      </c>
      <c r="H139" s="4">
        <v>20.55</v>
      </c>
      <c r="I139" s="4">
        <v>22.77</v>
      </c>
      <c r="J139" s="4">
        <v>22.83</v>
      </c>
      <c r="K139" s="4">
        <v>22.46</v>
      </c>
      <c r="L139" s="4">
        <v>20.99</v>
      </c>
      <c r="M139" s="4">
        <v>21.59</v>
      </c>
      <c r="N139" s="4">
        <v>20.95</v>
      </c>
      <c r="O139" s="4">
        <v>21.93</v>
      </c>
      <c r="P139" s="4">
        <v>24.32</v>
      </c>
      <c r="Q139" s="4">
        <v>25.19</v>
      </c>
      <c r="R139" s="4">
        <v>26.23</v>
      </c>
      <c r="S139" s="4">
        <v>25.21</v>
      </c>
      <c r="T139" s="4">
        <v>24.67</v>
      </c>
      <c r="U139" s="4">
        <v>25.12</v>
      </c>
      <c r="V139" s="4">
        <v>24.26</v>
      </c>
      <c r="W139" s="4">
        <v>23.35</v>
      </c>
      <c r="X139" s="4">
        <v>22.77</v>
      </c>
      <c r="Y139" s="4">
        <v>23.87</v>
      </c>
      <c r="Z139" s="4">
        <v>24.41</v>
      </c>
      <c r="AA139" s="4">
        <v>25.82</v>
      </c>
      <c r="AB139" s="4">
        <v>24.1</v>
      </c>
      <c r="AC139" s="4">
        <v>24.95</v>
      </c>
      <c r="AD139" s="4">
        <v>25.21</v>
      </c>
      <c r="AE139" s="4">
        <v>24.88</v>
      </c>
      <c r="AF139" s="4">
        <v>28.32</v>
      </c>
      <c r="AG139" s="4">
        <v>27.79</v>
      </c>
      <c r="AH139" s="4">
        <v>26.03</v>
      </c>
      <c r="AI139" s="4">
        <v>24.8</v>
      </c>
      <c r="AJ139" s="4">
        <v>24.01</v>
      </c>
      <c r="AK139" s="4">
        <v>23.52</v>
      </c>
      <c r="AL139" s="4">
        <v>22.78</v>
      </c>
      <c r="AM139" s="4">
        <v>21.88</v>
      </c>
      <c r="AN139" s="4">
        <v>21.89</v>
      </c>
      <c r="AO139" s="4">
        <v>20.64</v>
      </c>
      <c r="AP139" s="4">
        <v>20.02</v>
      </c>
      <c r="AQ139" s="4">
        <v>19</v>
      </c>
      <c r="AR139" s="4">
        <v>17.93</v>
      </c>
      <c r="AS139" s="4">
        <v>19.18</v>
      </c>
      <c r="AT139" s="4">
        <v>18.11</v>
      </c>
      <c r="AU139" s="4">
        <v>19.760000000000002</v>
      </c>
      <c r="AV139" s="4">
        <v>19.71</v>
      </c>
      <c r="AW139" s="4">
        <v>19.25</v>
      </c>
      <c r="AX139" s="4">
        <v>20.54</v>
      </c>
      <c r="AY139" s="12">
        <v>21.15</v>
      </c>
      <c r="AZ139" s="12">
        <v>22.9</v>
      </c>
      <c r="BA139" s="12">
        <v>22.7</v>
      </c>
      <c r="BB139" s="15">
        <v>20.39</v>
      </c>
      <c r="BC139" s="52">
        <v>20.62</v>
      </c>
      <c r="BD139" s="52">
        <v>21.42</v>
      </c>
      <c r="BE139" s="52">
        <v>20.3</v>
      </c>
      <c r="BF139" s="52">
        <v>20.52</v>
      </c>
      <c r="BG139" s="67">
        <v>21</v>
      </c>
      <c r="BH139" s="52">
        <v>20.79</v>
      </c>
      <c r="BI139" s="52">
        <v>19.899999999999999</v>
      </c>
      <c r="BJ139" s="52">
        <v>19.850000000000001</v>
      </c>
      <c r="BK139" s="52">
        <v>21.88</v>
      </c>
      <c r="BL139" s="52">
        <v>20.399999999999999</v>
      </c>
      <c r="BM139" s="52">
        <v>20.89</v>
      </c>
      <c r="BN139" s="52">
        <v>20.32</v>
      </c>
      <c r="BO139" s="52" cm="1">
        <f t="array" aca="1" ref="BO139" ca="1">_FV(EC139,"Preço")</f>
        <v>20.32</v>
      </c>
      <c r="BP139" s="69" t="s">
        <v>135</v>
      </c>
      <c r="BQ139" s="36" cm="1">
        <f t="array" aca="1" ref="BQ139" ca="1">_FV(EC139,"Média de volume",TRUE)</f>
        <v>3956030</v>
      </c>
      <c r="BR139" s="36">
        <v>9661500</v>
      </c>
      <c r="BS139" s="36" cm="1">
        <f t="array" aca="1" ref="BS139" ca="1">_FV(EC139,"Volume")</f>
        <v>9661500</v>
      </c>
      <c r="BT139" s="24" cm="1">
        <f t="array" aca="1" ref="BT139" ca="1">_FV(EC139,"Beta")</f>
        <v>1.5575000000000001</v>
      </c>
      <c r="BU139" s="71" cm="1">
        <f t="array" aca="1" ref="BU139" ca="1">_FV(EC139,"Variação (%)",TRUE)</f>
        <v>1.3466000000000001E-2</v>
      </c>
      <c r="BW139" s="17" cm="1">
        <f t="array" aca="1" ref="BW139" ca="1">_FV(EC139,"Baixo")</f>
        <v>19.739999999999998</v>
      </c>
      <c r="BX139" s="17" cm="1">
        <f t="array" aca="1" ref="BX139" ca="1">_FV(EC139,"Alto")</f>
        <v>21.55</v>
      </c>
      <c r="BY139" s="24"/>
      <c r="BZ139" s="63">
        <f ca="1">SQRT(22.5*(BO139/VLOOKUP(BP139,Fundamentus!A:U,3,FALSE))*(BO139/VLOOKUP(BP139,Fundamentus!A:U,4,FALSE)))</f>
        <v>20.655982328421295</v>
      </c>
      <c r="CB139" s="62">
        <f t="shared" ca="1" si="168"/>
        <v>0</v>
      </c>
      <c r="CC139" s="8"/>
      <c r="CD139" s="61">
        <f t="shared" si="169"/>
        <v>16.72</v>
      </c>
      <c r="CE139" s="61">
        <f t="shared" si="170"/>
        <v>28.32</v>
      </c>
      <c r="CF139" s="61">
        <f t="shared" si="171"/>
        <v>21.941212121212125</v>
      </c>
      <c r="CG139" s="14"/>
      <c r="CH139" s="35">
        <f t="shared" si="154"/>
        <v>18.445063769589154</v>
      </c>
      <c r="CI139" s="15">
        <f t="shared" si="172"/>
        <v>19.824999999999818</v>
      </c>
      <c r="CJ139" s="35">
        <f t="shared" si="155"/>
        <v>21.204936230410482</v>
      </c>
      <c r="CL139" s="14"/>
      <c r="CM139" s="17">
        <f t="shared" si="156"/>
        <v>3.6533333333333289</v>
      </c>
      <c r="CN139" s="17">
        <f t="shared" si="157"/>
        <v>10.186666666666664</v>
      </c>
      <c r="CO139" s="17">
        <f t="shared" si="158"/>
        <v>15.25333333333333</v>
      </c>
      <c r="CP139" s="38">
        <f t="shared" si="173"/>
        <v>21.786666666666665</v>
      </c>
      <c r="CQ139" s="17">
        <f t="shared" si="159"/>
        <v>26.853333333333332</v>
      </c>
      <c r="CR139" s="17">
        <f t="shared" si="160"/>
        <v>33.38666666666667</v>
      </c>
      <c r="CS139" s="17">
        <f t="shared" si="161"/>
        <v>38.453333333333333</v>
      </c>
      <c r="CT139" s="2" cm="1">
        <f t="array" aca="1" ref="CT139" ca="1">MAX(_xlfn._xlws.FILTER(CM139:CS139,CM139:CS139&lt;BO139))</f>
        <v>15.25333333333333</v>
      </c>
      <c r="CU139" s="2" cm="1">
        <f t="array" aca="1" ref="CU139" ca="1">MIN(_xlfn._xlws.FILTER($CM139:$CS139,$CM139:$CS139&gt;BO139))</f>
        <v>21.786666666666665</v>
      </c>
      <c r="CV139" s="16">
        <f t="shared" ca="1" si="136"/>
        <v>0.42832167832167856</v>
      </c>
      <c r="CW139" s="20">
        <f t="shared" ca="1" si="137"/>
        <v>-0.21416083916083928</v>
      </c>
      <c r="CX139" s="20">
        <f t="shared" ca="1" si="138"/>
        <v>-0.14277389277389285</v>
      </c>
      <c r="CY139" s="20">
        <f t="shared" ca="1" si="139"/>
        <v>-8.5664335664335706E-2</v>
      </c>
      <c r="CZ139" s="20">
        <f t="shared" ca="1" si="140"/>
        <v>-4.759129759129762E-2</v>
      </c>
      <c r="DA139" s="20">
        <f t="shared" ca="1" si="141"/>
        <v>-2.5195392842451678E-2</v>
      </c>
      <c r="DB139" s="20">
        <f t="shared" ca="1" si="142"/>
        <v>-1.2979444797626622E-2</v>
      </c>
      <c r="DC139" s="20">
        <f t="shared" ca="1" si="143"/>
        <v>-6.589564281871978E-3</v>
      </c>
      <c r="DD139" s="21">
        <f t="shared" ca="1" si="144"/>
        <v>6.589564281871978E-3</v>
      </c>
      <c r="DE139" s="21">
        <f t="shared" ca="1" si="145"/>
        <v>1.2979444797626622E-2</v>
      </c>
      <c r="DF139" s="21">
        <f t="shared" ca="1" si="146"/>
        <v>2.5195392842451678E-2</v>
      </c>
      <c r="DG139" s="21">
        <f t="shared" ca="1" si="147"/>
        <v>4.759129759129762E-2</v>
      </c>
      <c r="DH139" s="21">
        <f t="shared" ca="1" si="148"/>
        <v>8.5664335664335706E-2</v>
      </c>
      <c r="DI139" s="21">
        <f t="shared" ca="1" si="149"/>
        <v>0.14277389277389285</v>
      </c>
      <c r="DJ139" s="21">
        <f t="shared" ca="1" si="150"/>
        <v>0.21416083916083928</v>
      </c>
      <c r="DL139" s="16" cm="1">
        <f t="array" aca="1" ref="DL139" ca="1">MAX(_xlfn._xlws.FILTER(CW139:DJ139,CW139:DJ139&lt;BU139))</f>
        <v>1.2979444797626622E-2</v>
      </c>
      <c r="DM139" s="16" cm="1">
        <f t="array" aca="1" ref="DM139" ca="1">MIN(_xlfn._xlws.FILTER(CW139:DJ139,CW139:DJ139&gt;BU139))</f>
        <v>2.5195392842451678E-2</v>
      </c>
      <c r="DN139" s="2" cm="1">
        <f t="array" aca="1" ref="DN139" ca="1">_FV(EC139,"Fechamento anterior",TRUE)</f>
        <v>20.05</v>
      </c>
      <c r="DO139" s="28">
        <f t="shared" ca="1" si="162"/>
        <v>3.9856862944682603E-2</v>
      </c>
      <c r="DP139" s="15">
        <f t="shared" ca="1" si="151"/>
        <v>20.310237868192413</v>
      </c>
      <c r="DQ139" s="15">
        <f t="shared" ca="1" si="152"/>
        <v>20.555167626491158</v>
      </c>
      <c r="DR139" s="9"/>
      <c r="DS139" s="9"/>
      <c r="DT139" s="9"/>
      <c r="DU139" s="89">
        <v>6.3416258538209766E-3</v>
      </c>
      <c r="DV139" s="89">
        <f t="shared" ca="1" si="163"/>
        <v>1.2215948044825056E-2</v>
      </c>
      <c r="DW139" s="72">
        <f t="shared" ca="1" si="164"/>
        <v>0.35871222821135151</v>
      </c>
      <c r="DX139" s="37"/>
      <c r="DY139" s="35">
        <f t="shared" si="174"/>
        <v>0.68996811520533274</v>
      </c>
      <c r="DZ139" s="56"/>
      <c r="EA139" s="56"/>
      <c r="EC139" s="2" t="e" vm="139">
        <v>#VALUE!</v>
      </c>
      <c r="EE139" s="10" cm="1">
        <f t="array" aca="1" ref="EE139" ca="1">_FV(EC139,"Ações em circulação",TRUE)</f>
        <v>1682473000</v>
      </c>
      <c r="EF139" s="18">
        <f>VLOOKUP(BP139,Fundamentus!A:U,5,FALSE)</f>
        <v>0.57599999999999996</v>
      </c>
      <c r="EG139" s="2">
        <f t="shared" ca="1" si="165"/>
        <v>59353908611.111115</v>
      </c>
      <c r="EH139" s="17">
        <v>4000453440.3888893</v>
      </c>
      <c r="EI139" s="17">
        <f t="shared" ca="1" si="166"/>
        <v>4000453440.3888893</v>
      </c>
      <c r="EK139" s="16">
        <f t="shared" ca="1" si="153"/>
        <v>0</v>
      </c>
      <c r="EL139" s="32" t="str">
        <f>IF(VLOOKUP(BP139,Fundamentus!A:U,3,FALSE)&lt;15,"Bom",IF(VLOOKUP(BP139,Fundamentus!A:U,3,FALSE)&gt;15,"Ruim","n/a"))</f>
        <v>Bom</v>
      </c>
      <c r="EM139" s="28" t="str">
        <f>IF(VLOOKUP(BP139,Fundamentus!A:U,4,FALSE)&lt;1,"Baixo",IF(VLOOKUP(BP139,Fundamentus!A:U,4,FALSE)&lt;1.5,"Moderado",IF(VLOOKUP(BP139,Fundamentus!A:U,4,FALSE)&gt;1.5,"Alto","n/a")))</f>
        <v>Alto</v>
      </c>
      <c r="EN139" s="17" t="str">
        <f>IF(VLOOKUP(BP139,Fundamentus!A:U,8,FALSE)&lt;0,"Risco elevado",IF(VLOOKUP(BP139,Fundamentus!A:U,8,FALSE)&lt;1,"Saudável",IF(VLOOKUP(BP139,Fundamentus!A:U,8,FALSE)&lt;3,"Estável",IF(VLOOKUP(BP139,Fundamentus!A:U,8,FALSE)&gt;3,"Alerta","n/a"))))</f>
        <v>Alerta</v>
      </c>
      <c r="EO139" s="28" t="str">
        <f t="shared" si="167"/>
        <v>Ruim</v>
      </c>
      <c r="EP139" s="17" t="str">
        <f>IF(VLOOKUP(BP139,Fundamentus!A:U,12,FALSE)&lt;2,"Subvalorizada",IF(VLOOKUP(BP139,Fundamentus!A:U,12,FALSE)&lt;6,"Muita barata",IF(VLOOKUP(BP139,Fundamentus!A:U,12,FALSE)&lt;6,"Barata",IF(VLOOKUP(BP139,Fundamentus!A:U,12,FALSE)&lt;8,"Atrativa",IF(VLOOKUP(BP139,Fundamentus!A:U,12,FALSE)&gt;8,"Supervalorizada","n/a")))))</f>
        <v>Muita barata</v>
      </c>
      <c r="ER139" s="17" t="str">
        <f>IF(VLOOKUP(BP139,Fundamentus!A:U,17,FALSE)&lt;0.1,"Fraco retorno",IF(VLOOKUP(BP139,Fundamentus!A:U,17,FALSE)&gt;0.1,"Bom retorno","n/a"))</f>
        <v>Bom retorno</v>
      </c>
      <c r="ES139" s="17" t="str">
        <f>IF(VLOOKUP(BP139,Fundamentus!A:U,16,FALSE)&lt;0.1,"Ineficiente",IF(VLOOKUP(BP139,Fundamentus!A:U,16,FALSE)&gt;0.1,"Eficiente","n/a"))</f>
        <v>Eficiente</v>
      </c>
      <c r="ET139" s="33" t="str">
        <f>IF(VLOOKUP(BP139,Fundamentus!A:U,16,FALSE)&lt;0.1,"Oper. Ineficiente",IF(VLOOKUP(BP139,Fundamentus!A:U,16,FALSE)&gt;0.1,"Oper.Eficiente","n/a"))</f>
        <v>Oper.Eficiente</v>
      </c>
      <c r="EU139" s="34">
        <f>VLOOKUP(BP139,Fundamentus!A:U,14,FALSE)</f>
        <v>6.7400000000000002E-2</v>
      </c>
      <c r="EV139" s="17" t="str">
        <f>IF(VLOOKUP(BP139,Fundamentus!A:U,21,FALSE)&lt;0,"Negativo",IF(VLOOKUP(BP139,Fundamentus!A:U,21,FALSE)&lt;0.05,"Fraco",IF(VLOOKUP(BP139,Fundamentus!A:U,21,FALSE)&lt;0.1,"Bom",IF(VLOOKUP(BP139,Fundamentus!A:U,21,FALSE)&gt;0.1,"Muito bom","n/a"))))</f>
        <v>Bom</v>
      </c>
      <c r="EX139" s="29" t="str">
        <f>IF(VLOOKUP(BP139,Fundamentus!A:U,15,FALSE)&gt;1,"Bom",IF(VLOOKUP(BP139,Fundamentus!A:U,15,FALSE)&lt;1,"Ruim","n/a"))</f>
        <v>Bom</v>
      </c>
      <c r="EY139" s="17" t="str">
        <f>IF(VLOOKUP(BP139,Fundamentus!A:U,20,FALSE)&lt;0.5,"Baixa",IF(VLOOKUP(BP139,Fundamentus!A:U,20,FALSE)&lt;1,"Moderada",IF(VLOOKUP(BP139,Fundamentus!A:U,20,FALSE)&lt;2,"Alerta",IF(VLOOKUP(BP139,Fundamentus!A:U,20,FALSE)&gt;2,"Alta","n/a"))))</f>
        <v>Alerta</v>
      </c>
      <c r="EZ139" s="10"/>
    </row>
    <row r="140" spans="1:156" s="2" customFormat="1" ht="11.25" x14ac:dyDescent="0.2">
      <c r="A140" s="4">
        <v>22.35</v>
      </c>
      <c r="B140" s="4">
        <v>23.22</v>
      </c>
      <c r="C140" s="4">
        <v>23.58</v>
      </c>
      <c r="D140" s="4">
        <v>23.76</v>
      </c>
      <c r="E140" s="4">
        <v>23.3</v>
      </c>
      <c r="F140" s="4">
        <v>23.49</v>
      </c>
      <c r="G140" s="4">
        <v>22.73</v>
      </c>
      <c r="H140" s="4">
        <v>22.65</v>
      </c>
      <c r="I140" s="4">
        <v>23.09</v>
      </c>
      <c r="J140" s="4">
        <v>22.71</v>
      </c>
      <c r="K140" s="4">
        <v>22.85</v>
      </c>
      <c r="L140" s="4">
        <v>21.83</v>
      </c>
      <c r="M140" s="4">
        <v>22.21</v>
      </c>
      <c r="N140" s="4">
        <v>21.6</v>
      </c>
      <c r="O140" s="4">
        <v>21.52</v>
      </c>
      <c r="P140" s="4">
        <v>21.9</v>
      </c>
      <c r="Q140" s="4">
        <v>22.83</v>
      </c>
      <c r="R140" s="4">
        <v>22.04</v>
      </c>
      <c r="S140" s="4">
        <v>21.51</v>
      </c>
      <c r="T140" s="4">
        <v>22.91</v>
      </c>
      <c r="U140" s="4">
        <v>21.36</v>
      </c>
      <c r="V140" s="4">
        <v>20.399999999999999</v>
      </c>
      <c r="W140" s="4">
        <v>20.29</v>
      </c>
      <c r="X140" s="4">
        <v>20.37</v>
      </c>
      <c r="Y140" s="4">
        <v>19.989999999999998</v>
      </c>
      <c r="Z140" s="4">
        <v>20.2</v>
      </c>
      <c r="AA140" s="4">
        <v>18.57</v>
      </c>
      <c r="AB140" s="4">
        <v>17.29</v>
      </c>
      <c r="AC140" s="4">
        <v>16.399999999999999</v>
      </c>
      <c r="AD140" s="4">
        <v>16.53</v>
      </c>
      <c r="AE140" s="4">
        <v>15.2</v>
      </c>
      <c r="AF140" s="4">
        <v>14.6</v>
      </c>
      <c r="AG140" s="4">
        <v>14.2</v>
      </c>
      <c r="AH140" s="4">
        <v>13.17</v>
      </c>
      <c r="AI140" s="4">
        <v>12.77</v>
      </c>
      <c r="AJ140" s="4">
        <v>12.28</v>
      </c>
      <c r="AK140" s="4">
        <v>12.05</v>
      </c>
      <c r="AL140" s="4">
        <v>12.65</v>
      </c>
      <c r="AM140" s="4">
        <v>13.53</v>
      </c>
      <c r="AN140" s="4">
        <v>14.34</v>
      </c>
      <c r="AO140" s="4">
        <v>14.57</v>
      </c>
      <c r="AP140" s="4">
        <v>15.36</v>
      </c>
      <c r="AQ140" s="4">
        <v>15.05</v>
      </c>
      <c r="AR140" s="4">
        <v>12.9</v>
      </c>
      <c r="AS140" s="4">
        <v>12.86</v>
      </c>
      <c r="AT140" s="4">
        <v>12.14</v>
      </c>
      <c r="AU140" s="4">
        <v>12.164999999999999</v>
      </c>
      <c r="AV140" s="4">
        <v>12.88</v>
      </c>
      <c r="AW140" s="4">
        <v>12.71</v>
      </c>
      <c r="AX140" s="4">
        <v>11.6</v>
      </c>
      <c r="AY140" s="12">
        <v>13.05</v>
      </c>
      <c r="AZ140" s="12">
        <v>13.7</v>
      </c>
      <c r="BA140" s="12">
        <v>14.15</v>
      </c>
      <c r="BB140" s="15">
        <v>14.28</v>
      </c>
      <c r="BC140" s="52">
        <v>14.47</v>
      </c>
      <c r="BD140" s="52">
        <v>13.91</v>
      </c>
      <c r="BE140" s="52">
        <v>14.7</v>
      </c>
      <c r="BF140" s="52">
        <v>14.01</v>
      </c>
      <c r="BG140" s="67">
        <v>14.87</v>
      </c>
      <c r="BH140" s="52">
        <v>15.67</v>
      </c>
      <c r="BI140" s="52">
        <v>16</v>
      </c>
      <c r="BJ140" s="52">
        <v>15.12</v>
      </c>
      <c r="BK140" s="52">
        <v>14.28</v>
      </c>
      <c r="BL140" s="52">
        <v>14.55</v>
      </c>
      <c r="BM140" s="52">
        <v>15.15</v>
      </c>
      <c r="BN140" s="52">
        <v>13.99</v>
      </c>
      <c r="BO140" s="52" cm="1">
        <f t="array" aca="1" ref="BO140" ca="1">_FV(EC140,"Preço")</f>
        <v>13.99</v>
      </c>
      <c r="BP140" s="69" t="s">
        <v>136</v>
      </c>
      <c r="BQ140" s="36" cm="1">
        <f t="array" aca="1" ref="BQ140" ca="1">_FV(EC140,"Média de volume",TRUE)</f>
        <v>2450250</v>
      </c>
      <c r="BR140" s="36">
        <v>2790500</v>
      </c>
      <c r="BS140" s="36" cm="1">
        <f t="array" aca="1" ref="BS140" ca="1">_FV(EC140,"Volume")</f>
        <v>2790500</v>
      </c>
      <c r="BT140" s="24" cm="1">
        <f t="array" aca="1" ref="BT140" ca="1">_FV(EC140,"Beta")</f>
        <v>1.2666999999999999</v>
      </c>
      <c r="BU140" s="71" cm="1">
        <f t="array" aca="1" ref="BU140" ca="1">_FV(EC140,"Variação (%)",TRUE)</f>
        <v>-9.9080000000000001E-3</v>
      </c>
      <c r="BW140" s="17" cm="1">
        <f t="array" aca="1" ref="BW140" ca="1">_FV(EC140,"Baixo")</f>
        <v>13.99</v>
      </c>
      <c r="BX140" s="17" cm="1">
        <f t="array" aca="1" ref="BX140" ca="1">_FV(EC140,"Alto")</f>
        <v>14.47</v>
      </c>
      <c r="BY140" s="24"/>
      <c r="BZ140" s="63">
        <f ca="1">SQRT(22.5*(BO140/VLOOKUP(BP140,Fundamentus!A:U,3,FALSE))*(BO140/VLOOKUP(BP140,Fundamentus!A:U,4,FALSE)))</f>
        <v>15.323601870100871</v>
      </c>
      <c r="CB140" s="62">
        <f t="shared" ca="1" si="168"/>
        <v>0</v>
      </c>
      <c r="CC140" s="8"/>
      <c r="CD140" s="61">
        <f t="shared" si="169"/>
        <v>11.6</v>
      </c>
      <c r="CE140" s="61">
        <f t="shared" si="170"/>
        <v>23.76</v>
      </c>
      <c r="CF140" s="61">
        <f t="shared" si="171"/>
        <v>17.309166666666666</v>
      </c>
      <c r="CG140" s="14"/>
      <c r="CH140" s="35">
        <f t="shared" si="154"/>
        <v>13.509235838220354</v>
      </c>
      <c r="CI140" s="15">
        <f t="shared" si="172"/>
        <v>14.425000000000011</v>
      </c>
      <c r="CJ140" s="35">
        <f t="shared" si="155"/>
        <v>15.340764161779669</v>
      </c>
      <c r="CL140" s="14"/>
      <c r="CM140" s="17">
        <f t="shared" si="156"/>
        <v>-3.0200000000000049</v>
      </c>
      <c r="CN140" s="17">
        <f t="shared" si="157"/>
        <v>4.2899999999999974</v>
      </c>
      <c r="CO140" s="17">
        <f t="shared" si="158"/>
        <v>9.139999999999997</v>
      </c>
      <c r="CP140" s="38">
        <f t="shared" si="173"/>
        <v>16.45</v>
      </c>
      <c r="CQ140" s="17">
        <f t="shared" si="159"/>
        <v>21.299999999999997</v>
      </c>
      <c r="CR140" s="17">
        <f t="shared" si="160"/>
        <v>28.61</v>
      </c>
      <c r="CS140" s="17">
        <f t="shared" si="161"/>
        <v>33.46</v>
      </c>
      <c r="CT140" s="2" cm="1">
        <f t="array" aca="1" ref="CT140" ca="1">MAX(_xlfn._xlws.FILTER(CM140:CS140,CM140:CS140&lt;BO140))</f>
        <v>9.139999999999997</v>
      </c>
      <c r="CU140" s="2" cm="1">
        <f t="array" aca="1" ref="CU140" ca="1">MIN(_xlfn._xlws.FILTER($CM140:$CS140,$CM140:$CS140&gt;BO140))</f>
        <v>16.45</v>
      </c>
      <c r="CV140" s="16">
        <f t="shared" ca="1" si="136"/>
        <v>0.7997811816192566</v>
      </c>
      <c r="CW140" s="20">
        <f t="shared" ca="1" si="137"/>
        <v>-0.3998905908096283</v>
      </c>
      <c r="CX140" s="20">
        <f t="shared" ca="1" si="138"/>
        <v>-0.26659372720641888</v>
      </c>
      <c r="CY140" s="20">
        <f t="shared" ca="1" si="139"/>
        <v>-0.15995623632385131</v>
      </c>
      <c r="CZ140" s="20">
        <f t="shared" ca="1" si="140"/>
        <v>-8.8864575735472962E-2</v>
      </c>
      <c r="DA140" s="20">
        <f t="shared" ca="1" si="141"/>
        <v>-4.7045951859956268E-2</v>
      </c>
      <c r="DB140" s="20">
        <f t="shared" ca="1" si="142"/>
        <v>-2.4235793382401716E-2</v>
      </c>
      <c r="DC140" s="20">
        <f t="shared" ca="1" si="143"/>
        <v>-1.2304325871065487E-2</v>
      </c>
      <c r="DD140" s="21">
        <f t="shared" ca="1" si="144"/>
        <v>1.2304325871065487E-2</v>
      </c>
      <c r="DE140" s="21">
        <f t="shared" ca="1" si="145"/>
        <v>2.4235793382401716E-2</v>
      </c>
      <c r="DF140" s="21">
        <f t="shared" ca="1" si="146"/>
        <v>4.7045951859956268E-2</v>
      </c>
      <c r="DG140" s="21">
        <f t="shared" ca="1" si="147"/>
        <v>8.8864575735472962E-2</v>
      </c>
      <c r="DH140" s="21">
        <f t="shared" ca="1" si="148"/>
        <v>0.15995623632385131</v>
      </c>
      <c r="DI140" s="21">
        <f t="shared" ca="1" si="149"/>
        <v>0.26659372720641888</v>
      </c>
      <c r="DJ140" s="21">
        <f t="shared" ca="1" si="150"/>
        <v>0.3998905908096283</v>
      </c>
      <c r="DL140" s="16" cm="1">
        <f t="array" aca="1" ref="DL140" ca="1">MAX(_xlfn._xlws.FILTER(CW140:DJ140,CW140:DJ140&lt;BU140))</f>
        <v>-1.2304325871065487E-2</v>
      </c>
      <c r="DM140" s="16" cm="1">
        <f t="array" aca="1" ref="DM140" ca="1">MIN(_xlfn._xlws.FILTER(CW140:DJ140,CW140:DJ140&gt;BU140))</f>
        <v>1.2304325871065487E-2</v>
      </c>
      <c r="DN140" s="2" cm="1">
        <f t="array" aca="1" ref="DN140" ca="1">_FV(EC140,"Fechamento anterior",TRUE)</f>
        <v>14.13</v>
      </c>
      <c r="DO140" s="28">
        <f t="shared" ca="1" si="162"/>
        <v>9.7377488496014089E-2</v>
      </c>
      <c r="DP140" s="15">
        <f t="shared" ca="1" si="151"/>
        <v>13.956139875441846</v>
      </c>
      <c r="DQ140" s="15">
        <f t="shared" ca="1" si="152"/>
        <v>14.303860124558156</v>
      </c>
      <c r="DR140" s="9"/>
      <c r="DS140" s="9"/>
      <c r="DT140" s="9"/>
      <c r="DU140" s="89">
        <v>1.1170516005834859E-2</v>
      </c>
      <c r="DV140" s="89">
        <f t="shared" ca="1" si="163"/>
        <v>2.4608651742130973E-2</v>
      </c>
      <c r="DW140" s="72">
        <f t="shared" ca="1" si="164"/>
        <v>-0.47501312909499593</v>
      </c>
      <c r="DX140" s="37"/>
      <c r="DY140" s="35">
        <f t="shared" si="174"/>
        <v>0.45788208088982901</v>
      </c>
      <c r="DZ140" s="56"/>
      <c r="EA140" s="56"/>
      <c r="EC140" s="2" t="e" vm="140">
        <v>#VALUE!</v>
      </c>
      <c r="EE140" s="10" cm="1">
        <f t="array" aca="1" ref="EE140" ca="1">_FV(EC140,"Ações em circulação",TRUE)</f>
        <v>327611100</v>
      </c>
      <c r="EF140" s="18">
        <f>VLOOKUP(BP140,Fundamentus!A:U,5,FALSE)</f>
        <v>1.0569999999999999</v>
      </c>
      <c r="EG140" s="2">
        <f t="shared" ca="1" si="165"/>
        <v>4336120424.7871332</v>
      </c>
      <c r="EH140" s="17">
        <v>407595319.92999053</v>
      </c>
      <c r="EI140" s="17">
        <f t="shared" ca="1" si="166"/>
        <v>407595319.92999053</v>
      </c>
      <c r="EK140" s="16">
        <f t="shared" ca="1" si="153"/>
        <v>0</v>
      </c>
      <c r="EL140" s="32" t="str">
        <f>IF(VLOOKUP(BP140,Fundamentus!A:U,3,FALSE)&lt;15,"Bom",IF(VLOOKUP(BP140,Fundamentus!A:U,3,FALSE)&gt;15,"Ruim","n/a"))</f>
        <v>Bom</v>
      </c>
      <c r="EM140" s="28" t="str">
        <f>IF(VLOOKUP(BP140,Fundamentus!A:U,4,FALSE)&lt;1,"Baixo",IF(VLOOKUP(BP140,Fundamentus!A:U,4,FALSE)&lt;1.5,"Moderado",IF(VLOOKUP(BP140,Fundamentus!A:U,4,FALSE)&gt;1.5,"Alto","n/a")))</f>
        <v>Alto</v>
      </c>
      <c r="EN140" s="17" t="str">
        <f>IF(VLOOKUP(BP140,Fundamentus!A:U,8,FALSE)&lt;0,"Risco elevado",IF(VLOOKUP(BP140,Fundamentus!A:U,8,FALSE)&lt;1,"Saudável",IF(VLOOKUP(BP140,Fundamentus!A:U,8,FALSE)&lt;3,"Estável",IF(VLOOKUP(BP140,Fundamentus!A:U,8,FALSE)&gt;3,"Alerta","n/a"))))</f>
        <v>Estável</v>
      </c>
      <c r="EO140" s="28" t="str">
        <f t="shared" si="167"/>
        <v>Bom</v>
      </c>
      <c r="EP140" s="17" t="str">
        <f>IF(VLOOKUP(BP140,Fundamentus!A:U,12,FALSE)&lt;2,"Subvalorizada",IF(VLOOKUP(BP140,Fundamentus!A:U,12,FALSE)&lt;6,"Muita barata",IF(VLOOKUP(BP140,Fundamentus!A:U,12,FALSE)&lt;6,"Barata",IF(VLOOKUP(BP140,Fundamentus!A:U,12,FALSE)&lt;8,"Atrativa",IF(VLOOKUP(BP140,Fundamentus!A:U,12,FALSE)&gt;8,"Supervalorizada","n/a")))))</f>
        <v>Supervalorizada</v>
      </c>
      <c r="ER140" s="17" t="str">
        <f>IF(VLOOKUP(BP140,Fundamentus!A:U,17,FALSE)&lt;0.1,"Fraco retorno",IF(VLOOKUP(BP140,Fundamentus!A:U,17,FALSE)&gt;0.1,"Bom retorno","n/a"))</f>
        <v>Bom retorno</v>
      </c>
      <c r="ES140" s="17" t="str">
        <f>IF(VLOOKUP(BP140,Fundamentus!A:U,16,FALSE)&lt;0.1,"Ineficiente",IF(VLOOKUP(BP140,Fundamentus!A:U,16,FALSE)&gt;0.1,"Eficiente","n/a"))</f>
        <v>Eficiente</v>
      </c>
      <c r="ET140" s="33" t="str">
        <f>IF(VLOOKUP(BP140,Fundamentus!A:U,16,FALSE)&lt;0.1,"Oper. Ineficiente",IF(VLOOKUP(BP140,Fundamentus!A:U,16,FALSE)&gt;0.1,"Oper.Eficiente","n/a"))</f>
        <v>Oper.Eficiente</v>
      </c>
      <c r="EU140" s="34">
        <f>VLOOKUP(BP140,Fundamentus!A:U,14,FALSE)</f>
        <v>9.4E-2</v>
      </c>
      <c r="EV140" s="17" t="str">
        <f>IF(VLOOKUP(BP140,Fundamentus!A:U,21,FALSE)&lt;0,"Negativo",IF(VLOOKUP(BP140,Fundamentus!A:U,21,FALSE)&lt;0.05,"Fraco",IF(VLOOKUP(BP140,Fundamentus!A:U,21,FALSE)&lt;0.1,"Bom",IF(VLOOKUP(BP140,Fundamentus!A:U,21,FALSE)&gt;0.1,"Muito bom","n/a"))))</f>
        <v>Muito bom</v>
      </c>
      <c r="EX140" s="29" t="str">
        <f>IF(VLOOKUP(BP140,Fundamentus!A:U,15,FALSE)&gt;1,"Bom",IF(VLOOKUP(BP140,Fundamentus!A:U,15,FALSE)&lt;1,"Ruim","n/a"))</f>
        <v>Bom</v>
      </c>
      <c r="EY140" s="17" t="str">
        <f>IF(VLOOKUP(BP140,Fundamentus!A:U,20,FALSE)&lt;0.5,"Baixa",IF(VLOOKUP(BP140,Fundamentus!A:U,20,FALSE)&lt;1,"Moderada",IF(VLOOKUP(BP140,Fundamentus!A:U,20,FALSE)&lt;2,"Alerta",IF(VLOOKUP(BP140,Fundamentus!A:U,20,FALSE)&gt;2,"Alta","n/a"))))</f>
        <v>Baixa</v>
      </c>
      <c r="EZ140" s="10"/>
    </row>
    <row r="141" spans="1:156" s="2" customFormat="1" ht="11.25" x14ac:dyDescent="0.2">
      <c r="A141" s="4">
        <v>5.24</v>
      </c>
      <c r="B141" s="4">
        <v>5.28</v>
      </c>
      <c r="C141" s="4">
        <v>6.26</v>
      </c>
      <c r="D141" s="4">
        <v>6.7</v>
      </c>
      <c r="E141" s="4">
        <v>7.1</v>
      </c>
      <c r="F141" s="4">
        <v>7.16</v>
      </c>
      <c r="G141" s="4">
        <v>6.53</v>
      </c>
      <c r="H141" s="4">
        <v>6.47</v>
      </c>
      <c r="I141" s="4">
        <v>6.94</v>
      </c>
      <c r="J141" s="4">
        <v>7.07</v>
      </c>
      <c r="K141" s="4">
        <v>7.4</v>
      </c>
      <c r="L141" s="4">
        <v>6.67</v>
      </c>
      <c r="M141" s="4">
        <v>5.32</v>
      </c>
      <c r="N141" s="4">
        <v>4.8899999999999997</v>
      </c>
      <c r="O141" s="4">
        <v>4.66</v>
      </c>
      <c r="P141" s="4">
        <v>4.68</v>
      </c>
      <c r="Q141" s="4">
        <v>5.42</v>
      </c>
      <c r="R141" s="4">
        <v>4.9800000000000004</v>
      </c>
      <c r="S141" s="4">
        <v>4.68</v>
      </c>
      <c r="T141" s="4">
        <v>4.84</v>
      </c>
      <c r="U141" s="4">
        <v>4.7</v>
      </c>
      <c r="V141" s="4">
        <v>5.5</v>
      </c>
      <c r="W141" s="4">
        <v>6.17</v>
      </c>
      <c r="X141" s="4">
        <v>5.75</v>
      </c>
      <c r="Y141" s="4">
        <v>5.92</v>
      </c>
      <c r="Z141" s="4">
        <v>5.93</v>
      </c>
      <c r="AA141" s="4">
        <v>5.71</v>
      </c>
      <c r="AB141" s="4">
        <v>5.36</v>
      </c>
      <c r="AC141" s="4">
        <v>4.92</v>
      </c>
      <c r="AD141" s="4">
        <v>6.23</v>
      </c>
      <c r="AE141" s="4">
        <v>6.35</v>
      </c>
      <c r="AF141" s="4">
        <v>6.11</v>
      </c>
      <c r="AG141" s="4">
        <v>5.9</v>
      </c>
      <c r="AH141" s="4">
        <v>4.75</v>
      </c>
      <c r="AI141" s="4">
        <v>4.6900000000000004</v>
      </c>
      <c r="AJ141" s="4">
        <v>4.66</v>
      </c>
      <c r="AK141" s="4">
        <v>4.6399999999999997</v>
      </c>
      <c r="AL141" s="4">
        <v>5.12</v>
      </c>
      <c r="AM141" s="4">
        <v>5.0599999999999996</v>
      </c>
      <c r="AN141" s="4">
        <v>5.44</v>
      </c>
      <c r="AO141" s="4">
        <v>5.5</v>
      </c>
      <c r="AP141" s="4">
        <v>5.84</v>
      </c>
      <c r="AQ141" s="4">
        <v>5.95</v>
      </c>
      <c r="AR141" s="4">
        <v>5.19</v>
      </c>
      <c r="AS141" s="4">
        <v>5.25</v>
      </c>
      <c r="AT141" s="4">
        <v>4.99</v>
      </c>
      <c r="AU141" s="4">
        <v>5.0250000000000004</v>
      </c>
      <c r="AV141" s="4">
        <v>4.8499999999999996</v>
      </c>
      <c r="AW141" s="4">
        <v>4.1100000000000003</v>
      </c>
      <c r="AX141" s="4">
        <v>4.08</v>
      </c>
      <c r="AY141" s="12">
        <v>3.93</v>
      </c>
      <c r="AZ141" s="12">
        <v>4.1399999999999997</v>
      </c>
      <c r="BA141" s="12">
        <v>3.93</v>
      </c>
      <c r="BB141" s="15">
        <v>4.1399999999999997</v>
      </c>
      <c r="BC141" s="52">
        <v>4.78</v>
      </c>
      <c r="BD141" s="52">
        <v>4.68</v>
      </c>
      <c r="BE141" s="52">
        <v>4.7</v>
      </c>
      <c r="BF141" s="52">
        <v>4.37</v>
      </c>
      <c r="BG141" s="67">
        <v>4.3099999999999996</v>
      </c>
      <c r="BH141" s="52">
        <v>4.2</v>
      </c>
      <c r="BI141" s="52">
        <v>4.84</v>
      </c>
      <c r="BJ141" s="52">
        <v>4.8899999999999997</v>
      </c>
      <c r="BK141" s="52">
        <v>4.9000000000000004</v>
      </c>
      <c r="BL141" s="52">
        <v>4.5</v>
      </c>
      <c r="BM141" s="52">
        <v>4.74</v>
      </c>
      <c r="BN141" s="52">
        <v>4.6500000000000004</v>
      </c>
      <c r="BO141" s="52" cm="1">
        <f t="array" aca="1" ref="BO141" ca="1">_FV(EC141,"Preço")</f>
        <v>4.6500000000000004</v>
      </c>
      <c r="BP141" s="69" t="s">
        <v>137</v>
      </c>
      <c r="BQ141" s="36" cm="1">
        <f t="array" aca="1" ref="BQ141" ca="1">_FV(EC141,"Média de volume",TRUE)</f>
        <v>3936200</v>
      </c>
      <c r="BR141" s="36">
        <v>1969600</v>
      </c>
      <c r="BS141" s="36" cm="1">
        <f t="array" aca="1" ref="BS141" ca="1">_FV(EC141,"Volume")</f>
        <v>1969600</v>
      </c>
      <c r="BT141" s="24" cm="1">
        <f t="array" aca="1" ref="BT141" ca="1">_FV(EC141,"Beta")</f>
        <v>0.97470000000000001</v>
      </c>
      <c r="BU141" s="71" cm="1">
        <f t="array" aca="1" ref="BU141" ca="1">_FV(EC141,"Variação (%)",TRUE)</f>
        <v>-6.4099999999999999E-3</v>
      </c>
      <c r="BW141" s="17" cm="1">
        <f t="array" aca="1" ref="BW141" ca="1">_FV(EC141,"Baixo")</f>
        <v>4.6399999999999997</v>
      </c>
      <c r="BX141" s="17" cm="1">
        <f t="array" aca="1" ref="BX141" ca="1">_FV(EC141,"Alto")</f>
        <v>4.76</v>
      </c>
      <c r="BY141" s="24"/>
      <c r="BZ141" s="63">
        <f ca="1">SQRT(22.5*(BO141/VLOOKUP(BP141,Fundamentus!A:U,3,FALSE))*(BO141/VLOOKUP(BP141,Fundamentus!A:U,4,FALSE)))</f>
        <v>6.2265122023819908</v>
      </c>
      <c r="CB141" s="62">
        <f t="shared" ca="1" si="168"/>
        <v>0</v>
      </c>
      <c r="CC141" s="8"/>
      <c r="CD141" s="61">
        <f t="shared" si="169"/>
        <v>3.93</v>
      </c>
      <c r="CE141" s="61">
        <f t="shared" si="170"/>
        <v>7.4</v>
      </c>
      <c r="CF141" s="61">
        <f t="shared" si="171"/>
        <v>5.2982575757575736</v>
      </c>
      <c r="CG141" s="14"/>
      <c r="CH141" s="35">
        <f t="shared" si="154"/>
        <v>4.2683777196558514</v>
      </c>
      <c r="CI141" s="15">
        <f t="shared" si="172"/>
        <v>4.5699999999999932</v>
      </c>
      <c r="CJ141" s="35">
        <f t="shared" si="155"/>
        <v>4.8716222803441349</v>
      </c>
      <c r="CL141" s="14"/>
      <c r="CM141" s="17">
        <f t="shared" si="156"/>
        <v>-0.21666666666666634</v>
      </c>
      <c r="CN141" s="17">
        <f t="shared" si="157"/>
        <v>1.8566666666666669</v>
      </c>
      <c r="CO141" s="17">
        <f t="shared" si="158"/>
        <v>3.2533333333333339</v>
      </c>
      <c r="CP141" s="38">
        <f t="shared" si="173"/>
        <v>5.3266666666666671</v>
      </c>
      <c r="CQ141" s="17">
        <f t="shared" si="159"/>
        <v>6.7233333333333345</v>
      </c>
      <c r="CR141" s="17">
        <f t="shared" si="160"/>
        <v>8.7966666666666669</v>
      </c>
      <c r="CS141" s="17">
        <f t="shared" si="161"/>
        <v>10.193333333333335</v>
      </c>
      <c r="CT141" s="2" cm="1">
        <f t="array" aca="1" ref="CT141" ca="1">MAX(_xlfn._xlws.FILTER(CM141:CS141,CM141:CS141&lt;BO141))</f>
        <v>3.2533333333333339</v>
      </c>
      <c r="CU141" s="2" cm="1">
        <f t="array" aca="1" ref="CU141" ca="1">MIN(_xlfn._xlws.FILTER($CM141:$CS141,$CM141:$CS141&gt;BO141))</f>
        <v>5.3266666666666671</v>
      </c>
      <c r="CV141" s="16">
        <f t="shared" ca="1" si="136"/>
        <v>0.63729508196721296</v>
      </c>
      <c r="CW141" s="20">
        <f t="shared" ca="1" si="137"/>
        <v>-0.31864754098360648</v>
      </c>
      <c r="CX141" s="20">
        <f t="shared" ca="1" si="138"/>
        <v>-0.212431693989071</v>
      </c>
      <c r="CY141" s="20">
        <f t="shared" ca="1" si="139"/>
        <v>-0.12745901639344259</v>
      </c>
      <c r="CZ141" s="20">
        <f t="shared" ca="1" si="140"/>
        <v>-7.0810564663023656E-2</v>
      </c>
      <c r="DA141" s="20">
        <f t="shared" ca="1" si="141"/>
        <v>-3.7487945998071349E-2</v>
      </c>
      <c r="DB141" s="20">
        <f t="shared" ca="1" si="142"/>
        <v>-1.9311972180824637E-2</v>
      </c>
      <c r="DC141" s="20">
        <f t="shared" ca="1" si="143"/>
        <v>-9.8045397225725063E-3</v>
      </c>
      <c r="DD141" s="21">
        <f t="shared" ca="1" si="144"/>
        <v>9.8045397225725063E-3</v>
      </c>
      <c r="DE141" s="21">
        <f t="shared" ca="1" si="145"/>
        <v>1.9311972180824637E-2</v>
      </c>
      <c r="DF141" s="21">
        <f t="shared" ca="1" si="146"/>
        <v>3.7487945998071349E-2</v>
      </c>
      <c r="DG141" s="21">
        <f t="shared" ca="1" si="147"/>
        <v>7.0810564663023656E-2</v>
      </c>
      <c r="DH141" s="21">
        <f t="shared" ca="1" si="148"/>
        <v>0.12745901639344259</v>
      </c>
      <c r="DI141" s="21">
        <f t="shared" ca="1" si="149"/>
        <v>0.212431693989071</v>
      </c>
      <c r="DJ141" s="21">
        <f t="shared" ca="1" si="150"/>
        <v>0.31864754098360648</v>
      </c>
      <c r="DL141" s="16" cm="1">
        <f t="array" aca="1" ref="DL141" ca="1">MAX(_xlfn._xlws.FILTER(CW141:DJ141,CW141:DJ141&lt;BU141))</f>
        <v>-9.8045397225725063E-3</v>
      </c>
      <c r="DM141" s="16" cm="1">
        <f t="array" aca="1" ref="DM141" ca="1">MIN(_xlfn._xlws.FILTER(CW141:DJ141,CW141:DJ141&gt;BU141))</f>
        <v>9.8045397225725063E-3</v>
      </c>
      <c r="DN141" s="2" cm="1">
        <f t="array" aca="1" ref="DN141" ca="1">_FV(EC141,"Fechamento anterior",TRUE)</f>
        <v>4.68</v>
      </c>
      <c r="DO141" s="28">
        <f t="shared" ca="1" si="162"/>
        <v>0.17309753483387855</v>
      </c>
      <c r="DP141" s="15">
        <f t="shared" ca="1" si="151"/>
        <v>4.63411475409836</v>
      </c>
      <c r="DQ141" s="15">
        <f t="shared" ca="1" si="152"/>
        <v>4.7258852459016394</v>
      </c>
      <c r="DR141" s="9"/>
      <c r="DS141" s="9"/>
      <c r="DT141" s="9"/>
      <c r="DU141" s="89">
        <v>2.071881606765329E-2</v>
      </c>
      <c r="DV141" s="89">
        <f t="shared" ca="1" si="163"/>
        <v>1.9609079445145013E-2</v>
      </c>
      <c r="DW141" s="72">
        <f t="shared" ca="1" si="164"/>
        <v>0.26523239565966295</v>
      </c>
      <c r="DX141" s="37"/>
      <c r="DY141" s="35">
        <f t="shared" si="174"/>
        <v>0.15081114017207081</v>
      </c>
      <c r="DZ141" s="56"/>
      <c r="EA141" s="56"/>
      <c r="EC141" s="2" t="e" vm="141">
        <v>#VALUE!</v>
      </c>
      <c r="EE141" s="10" cm="1">
        <f t="array" aca="1" ref="EE141" ca="1">_FV(EC141,"Ações em circulação",TRUE)</f>
        <v>651072700</v>
      </c>
      <c r="EF141" s="18">
        <f>VLOOKUP(BP141,Fundamentus!A:U,5,FALSE)</f>
        <v>0.35199999999999998</v>
      </c>
      <c r="EG141" s="2">
        <f t="shared" ca="1" si="165"/>
        <v>8600818338.068182</v>
      </c>
      <c r="EH141" s="17">
        <v>283827005.15625</v>
      </c>
      <c r="EI141" s="17">
        <f t="shared" ca="1" si="166"/>
        <v>283827005.15625</v>
      </c>
      <c r="EK141" s="16">
        <f t="shared" ca="1" si="153"/>
        <v>0</v>
      </c>
      <c r="EL141" s="32" t="str">
        <f>IF(VLOOKUP(BP141,Fundamentus!A:U,3,FALSE)&lt;15,"Bom",IF(VLOOKUP(BP141,Fundamentus!A:U,3,FALSE)&gt;15,"Ruim","n/a"))</f>
        <v>Ruim</v>
      </c>
      <c r="EM141" s="28" t="str">
        <f>IF(VLOOKUP(BP141,Fundamentus!A:U,4,FALSE)&lt;1,"Baixo",IF(VLOOKUP(BP141,Fundamentus!A:U,4,FALSE)&lt;1.5,"Moderado",IF(VLOOKUP(BP141,Fundamentus!A:U,4,FALSE)&gt;1.5,"Alto","n/a")))</f>
        <v>Baixo</v>
      </c>
      <c r="EN141" s="17" t="str">
        <f>IF(VLOOKUP(BP141,Fundamentus!A:U,8,FALSE)&lt;0,"Risco elevado",IF(VLOOKUP(BP141,Fundamentus!A:U,8,FALSE)&lt;1,"Saudável",IF(VLOOKUP(BP141,Fundamentus!A:U,8,FALSE)&lt;3,"Estável",IF(VLOOKUP(BP141,Fundamentus!A:U,8,FALSE)&gt;3,"Alerta","n/a"))))</f>
        <v>Estável</v>
      </c>
      <c r="EO141" s="28" t="str">
        <f t="shared" si="167"/>
        <v>Ruim</v>
      </c>
      <c r="EP141" s="17" t="str">
        <f>IF(VLOOKUP(BP141,Fundamentus!A:U,12,FALSE)&lt;2,"Subvalorizada",IF(VLOOKUP(BP141,Fundamentus!A:U,12,FALSE)&lt;6,"Muita barata",IF(VLOOKUP(BP141,Fundamentus!A:U,12,FALSE)&lt;6,"Barata",IF(VLOOKUP(BP141,Fundamentus!A:U,12,FALSE)&lt;8,"Atrativa",IF(VLOOKUP(BP141,Fundamentus!A:U,12,FALSE)&gt;8,"Supervalorizada","n/a")))))</f>
        <v>Muita barata</v>
      </c>
      <c r="ER141" s="17" t="str">
        <f>IF(VLOOKUP(BP141,Fundamentus!A:U,17,FALSE)&lt;0.1,"Fraco retorno",IF(VLOOKUP(BP141,Fundamentus!A:U,17,FALSE)&gt;0.1,"Bom retorno","n/a"))</f>
        <v>Fraco retorno</v>
      </c>
      <c r="ES141" s="17" t="str">
        <f>IF(VLOOKUP(BP141,Fundamentus!A:U,16,FALSE)&lt;0.1,"Ineficiente",IF(VLOOKUP(BP141,Fundamentus!A:U,16,FALSE)&gt;0.1,"Eficiente","n/a"))</f>
        <v>Ineficiente</v>
      </c>
      <c r="ET141" s="33" t="str">
        <f>IF(VLOOKUP(BP141,Fundamentus!A:U,16,FALSE)&lt;0.1,"Oper. Ineficiente",IF(VLOOKUP(BP141,Fundamentus!A:U,16,FALSE)&gt;0.1,"Oper.Eficiente","n/a"))</f>
        <v>Oper. Ineficiente</v>
      </c>
      <c r="EU141" s="34">
        <f>VLOOKUP(BP141,Fundamentus!A:U,14,FALSE)</f>
        <v>3.3000000000000002E-2</v>
      </c>
      <c r="EV141" s="17" t="str">
        <f>IF(VLOOKUP(BP141,Fundamentus!A:U,21,FALSE)&lt;0,"Negativo",IF(VLOOKUP(BP141,Fundamentus!A:U,21,FALSE)&lt;0.05,"Fraco",IF(VLOOKUP(BP141,Fundamentus!A:U,21,FALSE)&lt;0.1,"Bom",IF(VLOOKUP(BP141,Fundamentus!A:U,21,FALSE)&gt;0.1,"Muito bom","n/a"))))</f>
        <v>Negativo</v>
      </c>
      <c r="EX141" s="29" t="str">
        <f>IF(VLOOKUP(BP141,Fundamentus!A:U,15,FALSE)&gt;1,"Bom",IF(VLOOKUP(BP141,Fundamentus!A:U,15,FALSE)&lt;1,"Ruim","n/a"))</f>
        <v>Bom</v>
      </c>
      <c r="EY141" s="17" t="str">
        <f>IF(VLOOKUP(BP141,Fundamentus!A:U,20,FALSE)&lt;0.5,"Baixa",IF(VLOOKUP(BP141,Fundamentus!A:U,20,FALSE)&lt;1,"Moderada",IF(VLOOKUP(BP141,Fundamentus!A:U,20,FALSE)&lt;2,"Alerta",IF(VLOOKUP(BP141,Fundamentus!A:U,20,FALSE)&gt;2,"Alta","n/a"))))</f>
        <v>Moderada</v>
      </c>
      <c r="EZ141" s="10"/>
    </row>
    <row r="142" spans="1:156" s="2" customFormat="1" ht="11.25" x14ac:dyDescent="0.2">
      <c r="A142" s="4">
        <v>4.6900000000000004</v>
      </c>
      <c r="B142" s="4">
        <v>4.34</v>
      </c>
      <c r="C142" s="4">
        <v>4.2699999999999996</v>
      </c>
      <c r="D142" s="4">
        <v>4.18</v>
      </c>
      <c r="E142" s="4">
        <v>4.07</v>
      </c>
      <c r="F142" s="4">
        <v>4.01</v>
      </c>
      <c r="G142" s="4">
        <v>4.07</v>
      </c>
      <c r="H142" s="4">
        <v>4.1900000000000004</v>
      </c>
      <c r="I142" s="4">
        <v>4.3</v>
      </c>
      <c r="J142" s="4">
        <v>4.2</v>
      </c>
      <c r="K142" s="4">
        <v>4.22</v>
      </c>
      <c r="L142" s="4">
        <v>4.3</v>
      </c>
      <c r="M142" s="4">
        <v>4.25</v>
      </c>
      <c r="N142" s="4">
        <v>4.37</v>
      </c>
      <c r="O142" s="4">
        <v>4.1900000000000004</v>
      </c>
      <c r="P142" s="4">
        <v>4.2300000000000004</v>
      </c>
      <c r="Q142" s="4">
        <v>4.46</v>
      </c>
      <c r="R142" s="4">
        <v>4.32</v>
      </c>
      <c r="S142" s="4">
        <v>4.34</v>
      </c>
      <c r="T142" s="4">
        <v>4.3899999999999997</v>
      </c>
      <c r="U142" s="4">
        <v>4.25</v>
      </c>
      <c r="V142" s="4">
        <v>4.22</v>
      </c>
      <c r="W142" s="4">
        <v>4.2699999999999996</v>
      </c>
      <c r="X142" s="4">
        <v>4.03</v>
      </c>
      <c r="Y142" s="4">
        <v>4.1500000000000004</v>
      </c>
      <c r="Z142" s="4">
        <v>4.1399999999999997</v>
      </c>
      <c r="AA142" s="4">
        <v>4.21</v>
      </c>
      <c r="AB142" s="4">
        <v>4.18</v>
      </c>
      <c r="AC142" s="4">
        <v>4.12</v>
      </c>
      <c r="AD142" s="4">
        <v>4.3499999999999996</v>
      </c>
      <c r="AE142" s="4">
        <v>4.49</v>
      </c>
      <c r="AF142" s="4">
        <v>4.7</v>
      </c>
      <c r="AG142" s="4">
        <v>4.7699999999999996</v>
      </c>
      <c r="AH142" s="4">
        <v>4.9000000000000004</v>
      </c>
      <c r="AI142" s="4">
        <v>4.88</v>
      </c>
      <c r="AJ142" s="4">
        <v>4.76</v>
      </c>
      <c r="AK142" s="4">
        <v>4.7</v>
      </c>
      <c r="AL142" s="4">
        <v>4.6500000000000004</v>
      </c>
      <c r="AM142" s="4">
        <v>4.78</v>
      </c>
      <c r="AN142" s="4">
        <v>4.8</v>
      </c>
      <c r="AO142" s="4">
        <v>4.47</v>
      </c>
      <c r="AP142" s="4">
        <v>4.55</v>
      </c>
      <c r="AQ142" s="4">
        <v>4.3499999999999996</v>
      </c>
      <c r="AR142" s="4">
        <v>4.04</v>
      </c>
      <c r="AS142" s="4">
        <v>4.1399999999999997</v>
      </c>
      <c r="AT142" s="4">
        <v>4.0199999999999996</v>
      </c>
      <c r="AU142" s="4">
        <v>4.03</v>
      </c>
      <c r="AV142" s="4">
        <v>3.91</v>
      </c>
      <c r="AW142" s="4">
        <v>3.8</v>
      </c>
      <c r="AX142" s="4">
        <v>3.72</v>
      </c>
      <c r="AY142" s="12">
        <v>3.66</v>
      </c>
      <c r="AZ142" s="12">
        <v>3.82</v>
      </c>
      <c r="BA142" s="12">
        <v>3.77</v>
      </c>
      <c r="BB142" s="15">
        <v>4.0599999999999996</v>
      </c>
      <c r="BC142" s="52">
        <v>4.0199999999999996</v>
      </c>
      <c r="BD142" s="52">
        <v>3.98</v>
      </c>
      <c r="BE142" s="52">
        <v>3.8</v>
      </c>
      <c r="BF142" s="52">
        <v>3.85</v>
      </c>
      <c r="BG142" s="67">
        <v>3.85</v>
      </c>
      <c r="BH142" s="52">
        <v>3.63</v>
      </c>
      <c r="BI142" s="52">
        <v>3.68</v>
      </c>
      <c r="BJ142" s="52">
        <v>3.99</v>
      </c>
      <c r="BK142" s="52">
        <v>3.81</v>
      </c>
      <c r="BL142" s="52">
        <v>3.84</v>
      </c>
      <c r="BM142" s="52">
        <v>3.81</v>
      </c>
      <c r="BN142" s="52">
        <v>3.75</v>
      </c>
      <c r="BO142" s="52" cm="1">
        <f t="array" aca="1" ref="BO142" ca="1">_FV(EC142,"Preço")</f>
        <v>3.75</v>
      </c>
      <c r="BP142" s="69" t="s">
        <v>138</v>
      </c>
      <c r="BQ142" s="36" cm="1">
        <f t="array" aca="1" ref="BQ142" ca="1">_FV(EC142,"Média de volume",TRUE)</f>
        <v>1890770</v>
      </c>
      <c r="BR142" s="36">
        <v>275000</v>
      </c>
      <c r="BS142" s="36" cm="1">
        <f t="array" aca="1" ref="BS142" ca="1">_FV(EC142,"Volume")</f>
        <v>275000</v>
      </c>
      <c r="BT142" s="24" cm="1">
        <f t="array" aca="1" ref="BT142" ca="1">_FV(EC142,"Beta")</f>
        <v>0.41599999999999998</v>
      </c>
      <c r="BU142" s="71" cm="1">
        <f t="array" aca="1" ref="BU142" ca="1">_FV(EC142,"Variação (%)",TRUE)</f>
        <v>-5.3049999999999998E-3</v>
      </c>
      <c r="BW142" s="17" cm="1">
        <f t="array" aca="1" ref="BW142" ca="1">_FV(EC142,"Baixo")</f>
        <v>3.74</v>
      </c>
      <c r="BX142" s="17" cm="1">
        <f t="array" aca="1" ref="BX142" ca="1">_FV(EC142,"Alto")</f>
        <v>3.81</v>
      </c>
      <c r="BY142" s="24"/>
      <c r="BZ142" s="63">
        <f ca="1">SQRT(22.5*(BO142/VLOOKUP(BP142,Fundamentus!A:U,3,FALSE))*(BO142/VLOOKUP(BP142,Fundamentus!A:U,4,FALSE)))</f>
        <v>2.9724150500967212</v>
      </c>
      <c r="CB142" s="62">
        <f t="shared" ca="1" si="168"/>
        <v>0</v>
      </c>
      <c r="CC142" s="8"/>
      <c r="CD142" s="61">
        <f t="shared" si="169"/>
        <v>3.63</v>
      </c>
      <c r="CE142" s="61">
        <f t="shared" si="170"/>
        <v>4.9000000000000004</v>
      </c>
      <c r="CF142" s="61">
        <f t="shared" si="171"/>
        <v>4.1983333333333333</v>
      </c>
      <c r="CG142" s="14"/>
      <c r="CH142" s="35">
        <f t="shared" si="154"/>
        <v>3.5890031056200433</v>
      </c>
      <c r="CI142" s="15">
        <f t="shared" si="172"/>
        <v>3.7500000000000284</v>
      </c>
      <c r="CJ142" s="35">
        <f t="shared" si="155"/>
        <v>3.9109968943800135</v>
      </c>
      <c r="CL142" s="14"/>
      <c r="CM142" s="17">
        <f t="shared" si="156"/>
        <v>2.0166666666666666</v>
      </c>
      <c r="CN142" s="17">
        <f t="shared" si="157"/>
        <v>2.8233333333333333</v>
      </c>
      <c r="CO142" s="17">
        <f t="shared" si="158"/>
        <v>3.2866666666666671</v>
      </c>
      <c r="CP142" s="38">
        <f t="shared" si="173"/>
        <v>4.0933333333333337</v>
      </c>
      <c r="CQ142" s="17">
        <f t="shared" si="159"/>
        <v>4.5566666666666675</v>
      </c>
      <c r="CR142" s="17">
        <f t="shared" si="160"/>
        <v>5.3633333333333342</v>
      </c>
      <c r="CS142" s="17">
        <f t="shared" si="161"/>
        <v>5.826666666666668</v>
      </c>
      <c r="CT142" s="2" cm="1">
        <f t="array" aca="1" ref="CT142" ca="1">MAX(_xlfn._xlws.FILTER(CM142:CS142,CM142:CS142&lt;BO142))</f>
        <v>3.2866666666666671</v>
      </c>
      <c r="CU142" s="2" cm="1">
        <f t="array" aca="1" ref="CU142" ca="1">MIN(_xlfn._xlws.FILTER($CM142:$CS142,$CM142:$CS142&gt;BO142))</f>
        <v>4.0933333333333337</v>
      </c>
      <c r="CV142" s="16">
        <f t="shared" ca="1" si="136"/>
        <v>0.24543610547667338</v>
      </c>
      <c r="CW142" s="20">
        <f t="shared" ca="1" si="137"/>
        <v>-0.12271805273833669</v>
      </c>
      <c r="CX142" s="20">
        <f t="shared" ca="1" si="138"/>
        <v>-8.1812035158891128E-2</v>
      </c>
      <c r="CY142" s="20">
        <f t="shared" ca="1" si="139"/>
        <v>-4.9087221095334678E-2</v>
      </c>
      <c r="CZ142" s="20">
        <f t="shared" ca="1" si="140"/>
        <v>-2.7270678386297043E-2</v>
      </c>
      <c r="DA142" s="20">
        <f t="shared" ca="1" si="141"/>
        <v>-1.4437417969216082E-2</v>
      </c>
      <c r="DB142" s="20">
        <f t="shared" ca="1" si="142"/>
        <v>-7.4374577417173756E-3</v>
      </c>
      <c r="DC142" s="20">
        <f t="shared" ca="1" si="143"/>
        <v>-3.7759400842565134E-3</v>
      </c>
      <c r="DD142" s="21">
        <f t="shared" ca="1" si="144"/>
        <v>3.7759400842565134E-3</v>
      </c>
      <c r="DE142" s="21">
        <f t="shared" ca="1" si="145"/>
        <v>7.4374577417173756E-3</v>
      </c>
      <c r="DF142" s="21">
        <f t="shared" ca="1" si="146"/>
        <v>1.4437417969216082E-2</v>
      </c>
      <c r="DG142" s="21">
        <f t="shared" ca="1" si="147"/>
        <v>2.7270678386297043E-2</v>
      </c>
      <c r="DH142" s="21">
        <f t="shared" ca="1" si="148"/>
        <v>4.9087221095334678E-2</v>
      </c>
      <c r="DI142" s="21">
        <f t="shared" ca="1" si="149"/>
        <v>8.1812035158891128E-2</v>
      </c>
      <c r="DJ142" s="21">
        <f t="shared" ca="1" si="150"/>
        <v>0.12271805273833669</v>
      </c>
      <c r="DL142" s="16" cm="1">
        <f t="array" aca="1" ref="DL142" ca="1">MAX(_xlfn._xlws.FILTER(CW142:DJ142,CW142:DJ142&lt;BU142))</f>
        <v>-7.4374577417173756E-3</v>
      </c>
      <c r="DM142" s="16" cm="1">
        <f t="array" aca="1" ref="DM142" ca="1">MIN(_xlfn._xlws.FILTER(CW142:DJ142,CW142:DJ142&gt;BU142))</f>
        <v>-3.7759400842565134E-3</v>
      </c>
      <c r="DN142" s="2" cm="1">
        <f t="array" aca="1" ref="DN142" ca="1">_FV(EC142,"Fechamento anterior",TRUE)</f>
        <v>3.77</v>
      </c>
      <c r="DO142" s="28">
        <f t="shared" ca="1" si="162"/>
        <v>0.58238636363634999</v>
      </c>
      <c r="DP142" s="15">
        <f t="shared" ca="1" si="151"/>
        <v>3.7419607843137257</v>
      </c>
      <c r="DQ142" s="15">
        <f t="shared" ca="1" si="152"/>
        <v>3.7557647058823531</v>
      </c>
      <c r="DR142" s="9"/>
      <c r="DS142" s="9"/>
      <c r="DT142" s="9"/>
      <c r="DU142" s="89">
        <v>7.1406680968433894E-3</v>
      </c>
      <c r="DV142" s="89">
        <f t="shared" ca="1" si="163"/>
        <v>3.6615176574608622E-3</v>
      </c>
      <c r="DW142" s="72">
        <f t="shared" ca="1" si="164"/>
        <v>-1.765357620086947E-13</v>
      </c>
      <c r="DX142" s="37"/>
      <c r="DY142" s="35">
        <f t="shared" si="174"/>
        <v>8.0498447189992509E-2</v>
      </c>
      <c r="DZ142" s="56"/>
      <c r="EA142" s="56"/>
      <c r="EC142" s="2" t="e" vm="142">
        <v>#VALUE!</v>
      </c>
      <c r="EE142" s="10" cm="1">
        <f t="array" aca="1" ref="EE142" ca="1">_FV(EC142,"Ações em circulação",TRUE)</f>
        <v>1235936000</v>
      </c>
      <c r="EF142" s="18">
        <f>VLOOKUP(BP142,Fundamentus!A:U,5,FALSE)</f>
        <v>1.1759999999999999</v>
      </c>
      <c r="EG142" s="2">
        <f t="shared" ca="1" si="165"/>
        <v>3941122448.9795918</v>
      </c>
      <c r="EH142" s="17">
        <v>399235704.08163267</v>
      </c>
      <c r="EI142" s="17">
        <f t="shared" ca="1" si="166"/>
        <v>399235704.08163267</v>
      </c>
      <c r="EK142" s="16">
        <f t="shared" ca="1" si="153"/>
        <v>0</v>
      </c>
      <c r="EL142" s="32" t="str">
        <f>IF(VLOOKUP(BP142,Fundamentus!A:U,3,FALSE)&lt;15,"Bom",IF(VLOOKUP(BP142,Fundamentus!A:U,3,FALSE)&gt;15,"Ruim","n/a"))</f>
        <v>Bom</v>
      </c>
      <c r="EM142" s="28" t="str">
        <f>IF(VLOOKUP(BP142,Fundamentus!A:U,4,FALSE)&lt;1,"Baixo",IF(VLOOKUP(BP142,Fundamentus!A:U,4,FALSE)&lt;1.5,"Moderado",IF(VLOOKUP(BP142,Fundamentus!A:U,4,FALSE)&gt;1.5,"Alto","n/a")))</f>
        <v>Alto</v>
      </c>
      <c r="EN142" s="17" t="str">
        <f>IF(VLOOKUP(BP142,Fundamentus!A:U,8,FALSE)&lt;0,"Risco elevado",IF(VLOOKUP(BP142,Fundamentus!A:U,8,FALSE)&lt;1,"Saudável",IF(VLOOKUP(BP142,Fundamentus!A:U,8,FALSE)&lt;3,"Estável",IF(VLOOKUP(BP142,Fundamentus!A:U,8,FALSE)&gt;3,"Alerta","n/a"))))</f>
        <v>Alerta</v>
      </c>
      <c r="EO142" s="28" t="str">
        <f t="shared" si="167"/>
        <v>Bom</v>
      </c>
      <c r="EP142" s="17" t="str">
        <f>IF(VLOOKUP(BP142,Fundamentus!A:U,12,FALSE)&lt;2,"Subvalorizada",IF(VLOOKUP(BP142,Fundamentus!A:U,12,FALSE)&lt;6,"Muita barata",IF(VLOOKUP(BP142,Fundamentus!A:U,12,FALSE)&lt;6,"Barata",IF(VLOOKUP(BP142,Fundamentus!A:U,12,FALSE)&lt;8,"Atrativa",IF(VLOOKUP(BP142,Fundamentus!A:U,12,FALSE)&gt;8,"Supervalorizada","n/a")))))</f>
        <v>Muita barata</v>
      </c>
      <c r="ER142" s="17" t="str">
        <f>IF(VLOOKUP(BP142,Fundamentus!A:U,17,FALSE)&lt;0.1,"Fraco retorno",IF(VLOOKUP(BP142,Fundamentus!A:U,17,FALSE)&gt;0.1,"Bom retorno","n/a"))</f>
        <v>Bom retorno</v>
      </c>
      <c r="ES142" s="17" t="str">
        <f>IF(VLOOKUP(BP142,Fundamentus!A:U,16,FALSE)&lt;0.1,"Ineficiente",IF(VLOOKUP(BP142,Fundamentus!A:U,16,FALSE)&gt;0.1,"Eficiente","n/a"))</f>
        <v>Ineficiente</v>
      </c>
      <c r="ET142" s="33" t="str">
        <f>IF(VLOOKUP(BP142,Fundamentus!A:U,16,FALSE)&lt;0.1,"Oper. Ineficiente",IF(VLOOKUP(BP142,Fundamentus!A:U,16,FALSE)&gt;0.1,"Oper.Eficiente","n/a"))</f>
        <v>Oper. Ineficiente</v>
      </c>
      <c r="EU142" s="34">
        <f>VLOOKUP(BP142,Fundamentus!A:U,14,FALSE)</f>
        <v>0.1013</v>
      </c>
      <c r="EV142" s="17" t="str">
        <f>IF(VLOOKUP(BP142,Fundamentus!A:U,21,FALSE)&lt;0,"Negativo",IF(VLOOKUP(BP142,Fundamentus!A:U,21,FALSE)&lt;0.05,"Fraco",IF(VLOOKUP(BP142,Fundamentus!A:U,21,FALSE)&lt;0.1,"Bom",IF(VLOOKUP(BP142,Fundamentus!A:U,21,FALSE)&gt;0.1,"Muito bom","n/a"))))</f>
        <v>Bom</v>
      </c>
      <c r="EX142" s="29" t="str">
        <f>IF(VLOOKUP(BP142,Fundamentus!A:U,15,FALSE)&gt;1,"Bom",IF(VLOOKUP(BP142,Fundamentus!A:U,15,FALSE)&lt;1,"Ruim","n/a"))</f>
        <v>Bom</v>
      </c>
      <c r="EY142" s="17" t="str">
        <f>IF(VLOOKUP(BP142,Fundamentus!A:U,20,FALSE)&lt;0.5,"Baixa",IF(VLOOKUP(BP142,Fundamentus!A:U,20,FALSE)&lt;1,"Moderada",IF(VLOOKUP(BP142,Fundamentus!A:U,20,FALSE)&lt;2,"Alerta",IF(VLOOKUP(BP142,Fundamentus!A:U,20,FALSE)&gt;2,"Alta","n/a"))))</f>
        <v>Alta</v>
      </c>
      <c r="EZ142" s="10"/>
    </row>
    <row r="143" spans="1:156" s="2" customFormat="1" ht="11.25" x14ac:dyDescent="0.2">
      <c r="A143" s="4">
        <v>7.59</v>
      </c>
      <c r="B143" s="4">
        <v>7.91</v>
      </c>
      <c r="C143" s="4">
        <v>8.09</v>
      </c>
      <c r="D143" s="4">
        <v>7.46</v>
      </c>
      <c r="E143" s="4">
        <v>7.8</v>
      </c>
      <c r="F143" s="4">
        <v>7.77</v>
      </c>
      <c r="G143" s="4">
        <v>7.26</v>
      </c>
      <c r="H143" s="4">
        <v>7.15</v>
      </c>
      <c r="I143" s="4">
        <v>6.95</v>
      </c>
      <c r="J143" s="4">
        <v>7.32</v>
      </c>
      <c r="K143" s="4">
        <v>7.29</v>
      </c>
      <c r="L143" s="4">
        <v>7.12</v>
      </c>
      <c r="M143" s="4">
        <v>6.91</v>
      </c>
      <c r="N143" s="4">
        <v>6.99</v>
      </c>
      <c r="O143" s="4">
        <v>7.94</v>
      </c>
      <c r="P143" s="4">
        <v>7.86</v>
      </c>
      <c r="Q143" s="4">
        <v>8.01</v>
      </c>
      <c r="R143" s="4">
        <v>7.88</v>
      </c>
      <c r="S143" s="4">
        <v>8.08</v>
      </c>
      <c r="T143" s="4">
        <v>7.47</v>
      </c>
      <c r="U143" s="4">
        <v>7.16</v>
      </c>
      <c r="V143" s="4">
        <v>7.51</v>
      </c>
      <c r="W143" s="4">
        <v>7.35</v>
      </c>
      <c r="X143" s="4">
        <v>7.28</v>
      </c>
      <c r="Y143" s="4">
        <v>7.21</v>
      </c>
      <c r="Z143" s="4">
        <v>7.28</v>
      </c>
      <c r="AA143" s="4">
        <v>7.46</v>
      </c>
      <c r="AB143" s="4">
        <v>7.37</v>
      </c>
      <c r="AC143" s="4">
        <v>7.24</v>
      </c>
      <c r="AD143" s="4">
        <v>7.25</v>
      </c>
      <c r="AE143" s="4">
        <v>6.98</v>
      </c>
      <c r="AF143" s="4">
        <v>7.12</v>
      </c>
      <c r="AG143" s="4">
        <v>6.82</v>
      </c>
      <c r="AH143" s="4">
        <v>6.95</v>
      </c>
      <c r="AI143" s="4">
        <v>6.5</v>
      </c>
      <c r="AJ143" s="4">
        <v>5.96</v>
      </c>
      <c r="AK143" s="4">
        <v>5.97</v>
      </c>
      <c r="AL143" s="4">
        <v>6.26</v>
      </c>
      <c r="AM143" s="4">
        <v>6.3</v>
      </c>
      <c r="AN143" s="4">
        <v>6.68</v>
      </c>
      <c r="AO143" s="4">
        <v>6.61</v>
      </c>
      <c r="AP143" s="4">
        <v>7.12</v>
      </c>
      <c r="AQ143" s="4">
        <v>6.94</v>
      </c>
      <c r="AR143" s="4">
        <v>6.38</v>
      </c>
      <c r="AS143" s="4">
        <v>6.31</v>
      </c>
      <c r="AT143" s="4">
        <v>6.45</v>
      </c>
      <c r="AU143" s="4">
        <v>6.7249999999999996</v>
      </c>
      <c r="AV143" s="4">
        <v>6.99</v>
      </c>
      <c r="AW143" s="4">
        <v>7.04</v>
      </c>
      <c r="AX143" s="4">
        <v>7.57</v>
      </c>
      <c r="AY143" s="12">
        <v>7.47</v>
      </c>
      <c r="AZ143" s="12">
        <v>7.6</v>
      </c>
      <c r="BA143" s="12">
        <v>7.7</v>
      </c>
      <c r="BB143" s="15">
        <v>7.67</v>
      </c>
      <c r="BC143" s="52">
        <v>7.72</v>
      </c>
      <c r="BD143" s="52">
        <v>7.76</v>
      </c>
      <c r="BE143" s="52">
        <v>7.99</v>
      </c>
      <c r="BF143" s="52">
        <v>7.82</v>
      </c>
      <c r="BG143" s="67">
        <v>7.78</v>
      </c>
      <c r="BH143" s="52">
        <v>7.73</v>
      </c>
      <c r="BI143" s="52">
        <v>7.9</v>
      </c>
      <c r="BJ143" s="52">
        <v>8.08</v>
      </c>
      <c r="BK143" s="52">
        <v>7.95</v>
      </c>
      <c r="BL143" s="52">
        <v>7.71</v>
      </c>
      <c r="BM143" s="52">
        <v>7.58</v>
      </c>
      <c r="BN143" s="52">
        <v>7.37</v>
      </c>
      <c r="BO143" s="52" cm="1">
        <f t="array" aca="1" ref="BO143" ca="1">_FV(EC143,"Preço")</f>
        <v>7.37</v>
      </c>
      <c r="BP143" s="69" t="s">
        <v>139</v>
      </c>
      <c r="BQ143" s="36" cm="1">
        <f t="array" aca="1" ref="BQ143" ca="1">_FV(EC143,"Média de volume",TRUE)</f>
        <v>3394590</v>
      </c>
      <c r="BR143" s="36">
        <v>2987700</v>
      </c>
      <c r="BS143" s="36" cm="1">
        <f t="array" aca="1" ref="BS143" ca="1">_FV(EC143,"Volume")</f>
        <v>2987700</v>
      </c>
      <c r="BT143" s="24" cm="1">
        <f t="array" aca="1" ref="BT143" ca="1">_FV(EC143,"Beta")</f>
        <v>1.3099000000000001</v>
      </c>
      <c r="BU143" s="71" cm="1">
        <f t="array" aca="1" ref="BU143" ca="1">_FV(EC143,"Variação (%)",TRUE)</f>
        <v>5.457E-3</v>
      </c>
      <c r="BW143" s="17" cm="1">
        <f t="array" aca="1" ref="BW143" ca="1">_FV(EC143,"Baixo")</f>
        <v>7.27</v>
      </c>
      <c r="BX143" s="17" cm="1">
        <f t="array" aca="1" ref="BX143" ca="1">_FV(EC143,"Alto")</f>
        <v>7.47</v>
      </c>
      <c r="BY143" s="24"/>
      <c r="BZ143" s="63">
        <f ca="1">SQRT(22.5*(BO143/VLOOKUP(BP143,Fundamentus!A:U,3,FALSE))*(BO143/VLOOKUP(BP143,Fundamentus!A:U,4,FALSE)))</f>
        <v>7.6320008551027056</v>
      </c>
      <c r="CB143" s="62">
        <f t="shared" ca="1" si="168"/>
        <v>0</v>
      </c>
      <c r="CC143" s="8"/>
      <c r="CD143" s="61">
        <f t="shared" si="169"/>
        <v>5.96</v>
      </c>
      <c r="CE143" s="61">
        <f t="shared" si="170"/>
        <v>8.09</v>
      </c>
      <c r="CF143" s="61">
        <f t="shared" si="171"/>
        <v>7.2949242424242442</v>
      </c>
      <c r="CG143" s="14"/>
      <c r="CH143" s="35">
        <f t="shared" si="154"/>
        <v>6.6766064516537851</v>
      </c>
      <c r="CI143" s="15">
        <f t="shared" si="172"/>
        <v>7.1849999999999454</v>
      </c>
      <c r="CJ143" s="35">
        <f t="shared" si="155"/>
        <v>7.6933935483461058</v>
      </c>
      <c r="CL143" s="14"/>
      <c r="CM143" s="17">
        <f t="shared" si="156"/>
        <v>4.0600000000000014</v>
      </c>
      <c r="CN143" s="17">
        <f t="shared" si="157"/>
        <v>5.0100000000000007</v>
      </c>
      <c r="CO143" s="17">
        <f t="shared" si="158"/>
        <v>6.1900000000000013</v>
      </c>
      <c r="CP143" s="38">
        <f t="shared" si="173"/>
        <v>7.1400000000000006</v>
      </c>
      <c r="CQ143" s="17">
        <f t="shared" si="159"/>
        <v>8.32</v>
      </c>
      <c r="CR143" s="17">
        <f t="shared" si="160"/>
        <v>9.27</v>
      </c>
      <c r="CS143" s="17">
        <f t="shared" si="161"/>
        <v>10.450000000000001</v>
      </c>
      <c r="CT143" s="2" cm="1">
        <f t="array" aca="1" ref="CT143" ca="1">MAX(_xlfn._xlws.FILTER(CM143:CS143,CM143:CS143&lt;BO143))</f>
        <v>7.1400000000000006</v>
      </c>
      <c r="CU143" s="2" cm="1">
        <f t="array" aca="1" ref="CU143" ca="1">MIN(_xlfn._xlws.FILTER($CM143:$CS143,$CM143:$CS143&gt;BO143))</f>
        <v>8.32</v>
      </c>
      <c r="CV143" s="16">
        <f t="shared" ca="1" si="136"/>
        <v>0.16526610644257689</v>
      </c>
      <c r="CW143" s="20">
        <f t="shared" ca="1" si="137"/>
        <v>-8.2633053221288444E-2</v>
      </c>
      <c r="CX143" s="20">
        <f t="shared" ca="1" si="138"/>
        <v>-5.5088702147525627E-2</v>
      </c>
      <c r="CY143" s="20">
        <f t="shared" ca="1" si="139"/>
        <v>-3.3053221288515379E-2</v>
      </c>
      <c r="CZ143" s="20">
        <f t="shared" ca="1" si="140"/>
        <v>-1.8362900715841877E-2</v>
      </c>
      <c r="DA143" s="20">
        <f t="shared" ca="1" si="141"/>
        <v>-9.7215356730927585E-3</v>
      </c>
      <c r="DB143" s="20">
        <f t="shared" ca="1" si="142"/>
        <v>-5.0080638315932388E-3</v>
      </c>
      <c r="DC143" s="20">
        <f t="shared" ca="1" si="143"/>
        <v>-2.5425554837319522E-3</v>
      </c>
      <c r="DD143" s="21">
        <f t="shared" ca="1" si="144"/>
        <v>2.5425554837319522E-3</v>
      </c>
      <c r="DE143" s="21">
        <f t="shared" ca="1" si="145"/>
        <v>5.0080638315932388E-3</v>
      </c>
      <c r="DF143" s="21">
        <f t="shared" ca="1" si="146"/>
        <v>9.7215356730927585E-3</v>
      </c>
      <c r="DG143" s="21">
        <f t="shared" ca="1" si="147"/>
        <v>1.8362900715841877E-2</v>
      </c>
      <c r="DH143" s="21">
        <f t="shared" ca="1" si="148"/>
        <v>3.3053221288515379E-2</v>
      </c>
      <c r="DI143" s="21">
        <f t="shared" ca="1" si="149"/>
        <v>5.5088702147525627E-2</v>
      </c>
      <c r="DJ143" s="21">
        <f t="shared" ca="1" si="150"/>
        <v>8.2633053221288444E-2</v>
      </c>
      <c r="DL143" s="16" cm="1">
        <f t="array" aca="1" ref="DL143" ca="1">MAX(_xlfn._xlws.FILTER(CW143:DJ143,CW143:DJ143&lt;BU143))</f>
        <v>5.0080638315932388E-3</v>
      </c>
      <c r="DM143" s="16" cm="1">
        <f t="array" aca="1" ref="DM143" ca="1">MIN(_xlfn._xlws.FILTER(CW143:DJ143,CW143:DJ143&gt;BU143))</f>
        <v>9.7215356730927585E-3</v>
      </c>
      <c r="DN143" s="2" cm="1">
        <f t="array" aca="1" ref="DN143" ca="1">_FV(EC143,"Fechamento anterior",TRUE)</f>
        <v>7.33</v>
      </c>
      <c r="DO143" s="28">
        <f t="shared" ca="1" si="162"/>
        <v>9.5250826646928952E-2</v>
      </c>
      <c r="DP143" s="15">
        <f t="shared" ca="1" si="151"/>
        <v>7.3667091078855789</v>
      </c>
      <c r="DQ143" s="15">
        <f t="shared" ca="1" si="152"/>
        <v>7.4012588564837696</v>
      </c>
      <c r="DR143" s="9"/>
      <c r="DS143" s="9"/>
      <c r="DT143" s="9"/>
      <c r="DU143" s="89">
        <v>1.5849673202614371E-2</v>
      </c>
      <c r="DV143" s="89">
        <f t="shared" ca="1" si="163"/>
        <v>4.7134718414995197E-3</v>
      </c>
      <c r="DW143" s="72">
        <f t="shared" ca="1" si="164"/>
        <v>0.36389132120553569</v>
      </c>
      <c r="DX143" s="37"/>
      <c r="DY143" s="35">
        <f t="shared" si="174"/>
        <v>0.25419677417308034</v>
      </c>
      <c r="DZ143" s="56"/>
      <c r="EA143" s="56"/>
      <c r="EC143" s="2" t="e" vm="143">
        <v>#VALUE!</v>
      </c>
      <c r="EE143" s="10" cm="1">
        <f t="array" aca="1" ref="EE143" ca="1">_FV(EC143,"Ações em circulação",TRUE)</f>
        <v>2248470000</v>
      </c>
      <c r="EF143" s="18">
        <f>VLOOKUP(BP143,Fundamentus!A:U,5,FALSE)</f>
        <v>0.51800000000000002</v>
      </c>
      <c r="EG143" s="2">
        <f t="shared" ca="1" si="165"/>
        <v>31990779729.729729</v>
      </c>
      <c r="EH143" s="17">
        <v>1369205372.4324324</v>
      </c>
      <c r="EI143" s="17">
        <f t="shared" ca="1" si="166"/>
        <v>1369205372.4324324</v>
      </c>
      <c r="EK143" s="16">
        <f t="shared" ca="1" si="153"/>
        <v>0</v>
      </c>
      <c r="EL143" s="32" t="str">
        <f>IF(VLOOKUP(BP143,Fundamentus!A:U,3,FALSE)&lt;15,"Bom",IF(VLOOKUP(BP143,Fundamentus!A:U,3,FALSE)&gt;15,"Ruim","n/a"))</f>
        <v>Bom</v>
      </c>
      <c r="EM143" s="28" t="str">
        <f>IF(VLOOKUP(BP143,Fundamentus!A:U,4,FALSE)&lt;1,"Baixo",IF(VLOOKUP(BP143,Fundamentus!A:U,4,FALSE)&lt;1.5,"Moderado",IF(VLOOKUP(BP143,Fundamentus!A:U,4,FALSE)&gt;1.5,"Alto","n/a")))</f>
        <v>Alto</v>
      </c>
      <c r="EN143" s="17" t="str">
        <f>IF(VLOOKUP(BP143,Fundamentus!A:U,8,FALSE)&lt;0,"Risco elevado",IF(VLOOKUP(BP143,Fundamentus!A:U,8,FALSE)&lt;1,"Saudável",IF(VLOOKUP(BP143,Fundamentus!A:U,8,FALSE)&lt;3,"Estável",IF(VLOOKUP(BP143,Fundamentus!A:U,8,FALSE)&gt;3,"Alerta","n/a"))))</f>
        <v>Estável</v>
      </c>
      <c r="EO143" s="28" t="str">
        <f t="shared" si="167"/>
        <v>Ruim</v>
      </c>
      <c r="EP143" s="17" t="str">
        <f>IF(VLOOKUP(BP143,Fundamentus!A:U,12,FALSE)&lt;2,"Subvalorizada",IF(VLOOKUP(BP143,Fundamentus!A:U,12,FALSE)&lt;6,"Muita barata",IF(VLOOKUP(BP143,Fundamentus!A:U,12,FALSE)&lt;6,"Barata",IF(VLOOKUP(BP143,Fundamentus!A:U,12,FALSE)&lt;8,"Atrativa",IF(VLOOKUP(BP143,Fundamentus!A:U,12,FALSE)&gt;8,"Supervalorizada","n/a")))))</f>
        <v>Atrativa</v>
      </c>
      <c r="ER143" s="17" t="str">
        <f>IF(VLOOKUP(BP143,Fundamentus!A:U,17,FALSE)&lt;0.1,"Fraco retorno",IF(VLOOKUP(BP143,Fundamentus!A:U,17,FALSE)&gt;0.1,"Bom retorno","n/a"))</f>
        <v>Bom retorno</v>
      </c>
      <c r="ES143" s="17" t="str">
        <f>IF(VLOOKUP(BP143,Fundamentus!A:U,16,FALSE)&lt;0.1,"Ineficiente",IF(VLOOKUP(BP143,Fundamentus!A:U,16,FALSE)&gt;0.1,"Eficiente","n/a"))</f>
        <v>Eficiente</v>
      </c>
      <c r="ET143" s="33" t="str">
        <f>IF(VLOOKUP(BP143,Fundamentus!A:U,16,FALSE)&lt;0.1,"Oper. Ineficiente",IF(VLOOKUP(BP143,Fundamentus!A:U,16,FALSE)&gt;0.1,"Oper.Eficiente","n/a"))</f>
        <v>Oper.Eficiente</v>
      </c>
      <c r="EU143" s="34">
        <f>VLOOKUP(BP143,Fundamentus!A:U,14,FALSE)</f>
        <v>4.2799999999999998E-2</v>
      </c>
      <c r="EV143" s="17" t="str">
        <f>IF(VLOOKUP(BP143,Fundamentus!A:U,21,FALSE)&lt;0,"Negativo",IF(VLOOKUP(BP143,Fundamentus!A:U,21,FALSE)&lt;0.05,"Fraco",IF(VLOOKUP(BP143,Fundamentus!A:U,21,FALSE)&lt;0.1,"Bom",IF(VLOOKUP(BP143,Fundamentus!A:U,21,FALSE)&gt;0.1,"Muito bom","n/a"))))</f>
        <v>Muito bom</v>
      </c>
      <c r="EX143" s="29" t="str">
        <f>IF(VLOOKUP(BP143,Fundamentus!A:U,15,FALSE)&gt;1,"Bom",IF(VLOOKUP(BP143,Fundamentus!A:U,15,FALSE)&lt;1,"Ruim","n/a"))</f>
        <v>Bom</v>
      </c>
      <c r="EY143" s="17" t="str">
        <f>IF(VLOOKUP(BP143,Fundamentus!A:U,20,FALSE)&lt;0.5,"Baixa",IF(VLOOKUP(BP143,Fundamentus!A:U,20,FALSE)&lt;1,"Moderada",IF(VLOOKUP(BP143,Fundamentus!A:U,20,FALSE)&lt;2,"Alerta",IF(VLOOKUP(BP143,Fundamentus!A:U,20,FALSE)&gt;2,"Alta","n/a"))))</f>
        <v>Baixa</v>
      </c>
      <c r="EZ143" s="10"/>
    </row>
    <row r="144" spans="1:156" s="2" customFormat="1" ht="11.25" x14ac:dyDescent="0.2">
      <c r="A144" s="4">
        <v>18.61</v>
      </c>
      <c r="B144" s="4">
        <v>16.88</v>
      </c>
      <c r="C144" s="4">
        <v>17.28</v>
      </c>
      <c r="D144" s="4">
        <v>16.43</v>
      </c>
      <c r="E144" s="4">
        <v>15.86</v>
      </c>
      <c r="F144" s="4">
        <v>16.07</v>
      </c>
      <c r="G144" s="4">
        <v>15.87</v>
      </c>
      <c r="H144" s="4">
        <v>15.78</v>
      </c>
      <c r="I144" s="4">
        <v>15.8</v>
      </c>
      <c r="J144" s="4">
        <v>15.72</v>
      </c>
      <c r="K144" s="4">
        <v>16.95</v>
      </c>
      <c r="L144" s="4">
        <v>16.77</v>
      </c>
      <c r="M144" s="4">
        <v>16.28</v>
      </c>
      <c r="N144" s="4">
        <v>17.68</v>
      </c>
      <c r="O144" s="4">
        <v>17.62</v>
      </c>
      <c r="P144" s="4">
        <v>18.239999999999998</v>
      </c>
      <c r="Q144" s="4">
        <v>18.14</v>
      </c>
      <c r="R144" s="4">
        <v>17.86</v>
      </c>
      <c r="S144" s="4">
        <v>18.41</v>
      </c>
      <c r="T144" s="4">
        <v>18.399999999999999</v>
      </c>
      <c r="U144" s="4">
        <v>18.73</v>
      </c>
      <c r="V144" s="4">
        <v>18.71</v>
      </c>
      <c r="W144" s="4">
        <v>17.75</v>
      </c>
      <c r="X144" s="4">
        <v>16.98</v>
      </c>
      <c r="Y144" s="4">
        <v>17.11</v>
      </c>
      <c r="Z144" s="4">
        <v>16.95</v>
      </c>
      <c r="AA144" s="4">
        <v>16.52</v>
      </c>
      <c r="AB144" s="4">
        <v>15.91</v>
      </c>
      <c r="AC144" s="4">
        <v>16.48</v>
      </c>
      <c r="AD144" s="4">
        <v>16.21</v>
      </c>
      <c r="AE144" s="4">
        <v>15.84</v>
      </c>
      <c r="AF144" s="4">
        <v>16.11</v>
      </c>
      <c r="AG144" s="4">
        <v>15.27</v>
      </c>
      <c r="AH144" s="4">
        <v>14.9</v>
      </c>
      <c r="AI144" s="4">
        <v>14.4</v>
      </c>
      <c r="AJ144" s="4">
        <v>14.42</v>
      </c>
      <c r="AK144" s="4">
        <v>13.82</v>
      </c>
      <c r="AL144" s="4">
        <v>14.81</v>
      </c>
      <c r="AM144" s="4">
        <v>15.08</v>
      </c>
      <c r="AN144" s="4">
        <v>15.61</v>
      </c>
      <c r="AO144" s="4">
        <v>15.64</v>
      </c>
      <c r="AP144" s="4">
        <v>17.53</v>
      </c>
      <c r="AQ144" s="4">
        <v>17.190000000000001</v>
      </c>
      <c r="AR144" s="4">
        <v>16.170000000000002</v>
      </c>
      <c r="AS144" s="4">
        <v>16.8</v>
      </c>
      <c r="AT144" s="4">
        <v>17.309999999999999</v>
      </c>
      <c r="AU144" s="4">
        <v>17.215</v>
      </c>
      <c r="AV144" s="4">
        <v>17.77</v>
      </c>
      <c r="AW144" s="4">
        <v>16.899999999999999</v>
      </c>
      <c r="AX144" s="4">
        <v>17.27</v>
      </c>
      <c r="AY144" s="12">
        <v>17.84</v>
      </c>
      <c r="AZ144" s="12">
        <v>18.61</v>
      </c>
      <c r="BA144" s="12">
        <v>18.95</v>
      </c>
      <c r="BB144" s="15">
        <v>19.57</v>
      </c>
      <c r="BC144" s="52">
        <v>19.82</v>
      </c>
      <c r="BD144" s="52">
        <v>19.3</v>
      </c>
      <c r="BE144" s="52">
        <v>19.489999999999998</v>
      </c>
      <c r="BF144" s="52">
        <v>20.149999999999999</v>
      </c>
      <c r="BG144" s="67">
        <v>20.56</v>
      </c>
      <c r="BH144" s="52">
        <v>21.52</v>
      </c>
      <c r="BI144" s="52">
        <v>21.33</v>
      </c>
      <c r="BJ144" s="52">
        <v>22.46</v>
      </c>
      <c r="BK144" s="52">
        <v>21.16</v>
      </c>
      <c r="BL144" s="52">
        <v>20.37</v>
      </c>
      <c r="BM144" s="52">
        <v>19.989999999999998</v>
      </c>
      <c r="BN144" s="52">
        <v>20.72</v>
      </c>
      <c r="BO144" s="52" cm="1">
        <f t="array" aca="1" ref="BO144" ca="1">_FV(EC144,"Preço")</f>
        <v>20.72</v>
      </c>
      <c r="BP144" s="69" t="s">
        <v>140</v>
      </c>
      <c r="BQ144" s="36" cm="1">
        <f t="array" aca="1" ref="BQ144" ca="1">_FV(EC144,"Média de volume",TRUE)</f>
        <v>5297300</v>
      </c>
      <c r="BR144" s="36">
        <v>4603400</v>
      </c>
      <c r="BS144" s="36" cm="1">
        <f t="array" aca="1" ref="BS144" ca="1">_FV(EC144,"Volume")</f>
        <v>4603400</v>
      </c>
      <c r="BT144" s="24" cm="1">
        <f t="array" aca="1" ref="BT144" ca="1">_FV(EC144,"Beta")</f>
        <v>0.6673</v>
      </c>
      <c r="BU144" s="71" cm="1">
        <f t="array" aca="1" ref="BU144" ca="1">_FV(EC144,"Variação (%)",TRUE)</f>
        <v>4.8289999999999997E-4</v>
      </c>
      <c r="BW144" s="17" cm="1">
        <f t="array" aca="1" ref="BW144" ca="1">_FV(EC144,"Baixo")</f>
        <v>20.52</v>
      </c>
      <c r="BX144" s="17" cm="1">
        <f t="array" aca="1" ref="BX144" ca="1">_FV(EC144,"Alto")</f>
        <v>20.99</v>
      </c>
      <c r="BY144" s="24"/>
      <c r="BZ144" s="63">
        <f ca="1">SQRT(22.5*(BO144/VLOOKUP(BP144,Fundamentus!A:U,3,FALSE))*(BO144/VLOOKUP(BP144,Fundamentus!A:U,4,FALSE)))</f>
        <v>5.294639007237758</v>
      </c>
      <c r="CB144" s="62">
        <f t="shared" ca="1" si="168"/>
        <v>0</v>
      </c>
      <c r="CC144" s="8"/>
      <c r="CD144" s="61">
        <f t="shared" si="169"/>
        <v>13.82</v>
      </c>
      <c r="CE144" s="61">
        <f t="shared" si="170"/>
        <v>22.46</v>
      </c>
      <c r="CF144" s="61">
        <f t="shared" si="171"/>
        <v>17.483257575757577</v>
      </c>
      <c r="CG144" s="14"/>
      <c r="CH144" s="35">
        <f t="shared" si="154"/>
        <v>18.429807928707138</v>
      </c>
      <c r="CI144" s="15">
        <f t="shared" si="172"/>
        <v>20.134999999999991</v>
      </c>
      <c r="CJ144" s="35">
        <f t="shared" si="155"/>
        <v>21.840192071292844</v>
      </c>
      <c r="CL144" s="14"/>
      <c r="CM144" s="17">
        <f t="shared" si="156"/>
        <v>6.8999999999999986</v>
      </c>
      <c r="CN144" s="17">
        <f t="shared" si="157"/>
        <v>10.36</v>
      </c>
      <c r="CO144" s="17">
        <f t="shared" si="158"/>
        <v>15.54</v>
      </c>
      <c r="CP144" s="38">
        <f t="shared" si="173"/>
        <v>19</v>
      </c>
      <c r="CQ144" s="17">
        <f t="shared" si="159"/>
        <v>24.18</v>
      </c>
      <c r="CR144" s="17">
        <f t="shared" si="160"/>
        <v>27.64</v>
      </c>
      <c r="CS144" s="17">
        <f t="shared" si="161"/>
        <v>32.82</v>
      </c>
      <c r="CT144" s="2" cm="1">
        <f t="array" aca="1" ref="CT144" ca="1">MAX(_xlfn._xlws.FILTER(CM144:CS144,CM144:CS144&lt;BO144))</f>
        <v>19</v>
      </c>
      <c r="CU144" s="2" cm="1">
        <f t="array" aca="1" ref="CU144" ca="1">MIN(_xlfn._xlws.FILTER($CM144:$CS144,$CM144:$CS144&gt;BO144))</f>
        <v>24.18</v>
      </c>
      <c r="CV144" s="16">
        <f t="shared" ca="1" si="136"/>
        <v>0.27263157894736834</v>
      </c>
      <c r="CW144" s="20">
        <f t="shared" ca="1" si="137"/>
        <v>-0.13631578947368417</v>
      </c>
      <c r="CX144" s="20">
        <f t="shared" ca="1" si="138"/>
        <v>-9.0877192982456112E-2</v>
      </c>
      <c r="CY144" s="20">
        <f t="shared" ca="1" si="139"/>
        <v>-5.4526315789473666E-2</v>
      </c>
      <c r="CZ144" s="20">
        <f t="shared" ca="1" si="140"/>
        <v>-3.0292397660818704E-2</v>
      </c>
      <c r="DA144" s="20">
        <f t="shared" ca="1" si="141"/>
        <v>-1.6037151702786374E-2</v>
      </c>
      <c r="DB144" s="20">
        <f t="shared" ca="1" si="142"/>
        <v>-8.2615629984051017E-3</v>
      </c>
      <c r="DC144" s="20">
        <f t="shared" ca="1" si="143"/>
        <v>-4.1943319838056671E-3</v>
      </c>
      <c r="DD144" s="21">
        <f t="shared" ca="1" si="144"/>
        <v>4.1943319838056671E-3</v>
      </c>
      <c r="DE144" s="21">
        <f t="shared" ca="1" si="145"/>
        <v>8.2615629984051017E-3</v>
      </c>
      <c r="DF144" s="21">
        <f t="shared" ca="1" si="146"/>
        <v>1.6037151702786374E-2</v>
      </c>
      <c r="DG144" s="21">
        <f t="shared" ca="1" si="147"/>
        <v>3.0292397660818704E-2</v>
      </c>
      <c r="DH144" s="21">
        <f t="shared" ca="1" si="148"/>
        <v>5.4526315789473666E-2</v>
      </c>
      <c r="DI144" s="21">
        <f t="shared" ca="1" si="149"/>
        <v>9.0877192982456112E-2</v>
      </c>
      <c r="DJ144" s="21">
        <f t="shared" ca="1" si="150"/>
        <v>0.13631578947368417</v>
      </c>
      <c r="DL144" s="16" cm="1">
        <f t="array" aca="1" ref="DL144" ca="1">MAX(_xlfn._xlws.FILTER(CW144:DJ144,CW144:DJ144&lt;BU144))</f>
        <v>-4.1943319838056671E-3</v>
      </c>
      <c r="DM144" s="16" cm="1">
        <f t="array" aca="1" ref="DM144" ca="1">MIN(_xlfn._xlws.FILTER(CW144:DJ144,CW144:DJ144&gt;BU144))</f>
        <v>4.1943319838056671E-3</v>
      </c>
      <c r="DN144" s="2" cm="1">
        <f t="array" aca="1" ref="DN144" ca="1">_FV(EC144,"Fechamento anterior",TRUE)</f>
        <v>20.71</v>
      </c>
      <c r="DO144" s="28">
        <f t="shared" ca="1" si="162"/>
        <v>0.55756083737733897</v>
      </c>
      <c r="DP144" s="15">
        <f t="shared" ca="1" si="151"/>
        <v>20.623135384615384</v>
      </c>
      <c r="DQ144" s="15">
        <f t="shared" ca="1" si="152"/>
        <v>20.796864615384617</v>
      </c>
      <c r="DR144" s="9"/>
      <c r="DS144" s="9"/>
      <c r="DT144" s="9"/>
      <c r="DU144" s="89">
        <v>8.2503903863127177E-3</v>
      </c>
      <c r="DV144" s="89">
        <f t="shared" ca="1" si="163"/>
        <v>8.3886639676113341E-3</v>
      </c>
      <c r="DW144" s="72">
        <f t="shared" ca="1" si="164"/>
        <v>0.34306985696717973</v>
      </c>
      <c r="DX144" s="37"/>
      <c r="DY144" s="35">
        <f t="shared" si="174"/>
        <v>0.85259603564642561</v>
      </c>
      <c r="DZ144" s="56"/>
      <c r="EA144" s="56"/>
      <c r="EC144" s="2" t="e" vm="144">
        <v>#VALUE!</v>
      </c>
      <c r="EE144" s="10" cm="1">
        <f t="array" aca="1" ref="EE144" ca="1">_FV(EC144,"Ações em circulação",TRUE)</f>
        <v>2420804000</v>
      </c>
      <c r="EF144" s="18">
        <f>VLOOKUP(BP144,Fundamentus!A:U,5,FALSE)</f>
        <v>162.40899999999999</v>
      </c>
      <c r="EG144" s="2">
        <f t="shared" ca="1" si="165"/>
        <v>308844084.25641435</v>
      </c>
      <c r="EH144" s="17">
        <v>288213299.42808586</v>
      </c>
      <c r="EI144" s="17">
        <f t="shared" ca="1" si="166"/>
        <v>288213299.42808586</v>
      </c>
      <c r="EK144" s="16">
        <f t="shared" ca="1" si="153"/>
        <v>0</v>
      </c>
      <c r="EL144" s="32" t="str">
        <f>IF(VLOOKUP(BP144,Fundamentus!A:U,3,FALSE)&lt;15,"Bom",IF(VLOOKUP(BP144,Fundamentus!A:U,3,FALSE)&gt;15,"Ruim","n/a"))</f>
        <v>Ruim</v>
      </c>
      <c r="EM144" s="28" t="str">
        <f>IF(VLOOKUP(BP144,Fundamentus!A:U,4,FALSE)&lt;1,"Baixo",IF(VLOOKUP(BP144,Fundamentus!A:U,4,FALSE)&lt;1.5,"Moderado",IF(VLOOKUP(BP144,Fundamentus!A:U,4,FALSE)&gt;1.5,"Alto","n/a")))</f>
        <v>Alto</v>
      </c>
      <c r="EN144" s="17" t="str">
        <f>IF(VLOOKUP(BP144,Fundamentus!A:U,8,FALSE)&lt;0,"Risco elevado",IF(VLOOKUP(BP144,Fundamentus!A:U,8,FALSE)&lt;1,"Saudável",IF(VLOOKUP(BP144,Fundamentus!A:U,8,FALSE)&lt;3,"Estável",IF(VLOOKUP(BP144,Fundamentus!A:U,8,FALSE)&gt;3,"Alerta","n/a"))))</f>
        <v>Risco elevado</v>
      </c>
      <c r="EO144" s="28" t="str">
        <f t="shared" si="167"/>
        <v>Bom</v>
      </c>
      <c r="EP144" s="17" t="str">
        <f>IF(VLOOKUP(BP144,Fundamentus!A:U,12,FALSE)&lt;2,"Subvalorizada",IF(VLOOKUP(BP144,Fundamentus!A:U,12,FALSE)&lt;6,"Muita barata",IF(VLOOKUP(BP144,Fundamentus!A:U,12,FALSE)&lt;6,"Barata",IF(VLOOKUP(BP144,Fundamentus!A:U,12,FALSE)&lt;8,"Atrativa",IF(VLOOKUP(BP144,Fundamentus!A:U,12,FALSE)&gt;8,"Supervalorizada","n/a")))))</f>
        <v>Supervalorizada</v>
      </c>
      <c r="ER144" s="17" t="str">
        <f>IF(VLOOKUP(BP144,Fundamentus!A:U,17,FALSE)&lt;0.1,"Fraco retorno",IF(VLOOKUP(BP144,Fundamentus!A:U,17,FALSE)&gt;0.1,"Bom retorno","n/a"))</f>
        <v>Fraco retorno</v>
      </c>
      <c r="ES144" s="17" t="str">
        <f>IF(VLOOKUP(BP144,Fundamentus!A:U,16,FALSE)&lt;0.1,"Ineficiente",IF(VLOOKUP(BP144,Fundamentus!A:U,16,FALSE)&gt;0.1,"Eficiente","n/a"))</f>
        <v>Ineficiente</v>
      </c>
      <c r="ET144" s="33" t="str">
        <f>IF(VLOOKUP(BP144,Fundamentus!A:U,16,FALSE)&lt;0.1,"Oper. Ineficiente",IF(VLOOKUP(BP144,Fundamentus!A:U,16,FALSE)&gt;0.1,"Oper.Eficiente","n/a"))</f>
        <v>Oper. Ineficiente</v>
      </c>
      <c r="EU144" s="34">
        <f>VLOOKUP(BP144,Fundamentus!A:U,14,FALSE)</f>
        <v>0.93320000000000003</v>
      </c>
      <c r="EV144" s="17" t="str">
        <f>IF(VLOOKUP(BP144,Fundamentus!A:U,21,FALSE)&lt;0,"Negativo",IF(VLOOKUP(BP144,Fundamentus!A:U,21,FALSE)&lt;0.05,"Fraco",IF(VLOOKUP(BP144,Fundamentus!A:U,21,FALSE)&lt;0.1,"Bom",IF(VLOOKUP(BP144,Fundamentus!A:U,21,FALSE)&gt;0.1,"Muito bom","n/a"))))</f>
        <v>Negativo</v>
      </c>
      <c r="EX144" s="29" t="str">
        <f>IF(VLOOKUP(BP144,Fundamentus!A:U,15,FALSE)&gt;1,"Bom",IF(VLOOKUP(BP144,Fundamentus!A:U,15,FALSE)&lt;1,"Ruim","n/a"))</f>
        <v>Ruim</v>
      </c>
      <c r="EY144" s="17" t="str">
        <f>IF(VLOOKUP(BP144,Fundamentus!A:U,20,FALSE)&lt;0.5,"Baixa",IF(VLOOKUP(BP144,Fundamentus!A:U,20,FALSE)&lt;1,"Moderada",IF(VLOOKUP(BP144,Fundamentus!A:U,20,FALSE)&lt;2,"Alerta",IF(VLOOKUP(BP144,Fundamentus!A:U,20,FALSE)&gt;2,"Alta","n/a"))))</f>
        <v>Baixa</v>
      </c>
      <c r="EZ144" s="10"/>
    </row>
    <row r="145" spans="1:156" s="2" customFormat="1" ht="11.25" x14ac:dyDescent="0.2">
      <c r="A145" s="4">
        <v>18.010000000000002</v>
      </c>
      <c r="B145" s="4">
        <v>16.86</v>
      </c>
      <c r="C145" s="4">
        <v>17.489999999999998</v>
      </c>
      <c r="D145" s="4">
        <v>16.14</v>
      </c>
      <c r="E145" s="4">
        <v>15.7</v>
      </c>
      <c r="F145" s="4">
        <v>16.28</v>
      </c>
      <c r="G145" s="4">
        <v>15.91</v>
      </c>
      <c r="H145" s="4">
        <v>15.56</v>
      </c>
      <c r="I145" s="4">
        <v>15.55</v>
      </c>
      <c r="J145" s="4">
        <v>15.7</v>
      </c>
      <c r="K145" s="4">
        <v>15.56</v>
      </c>
      <c r="L145" s="4">
        <v>15.5</v>
      </c>
      <c r="M145" s="4">
        <v>15.7</v>
      </c>
      <c r="N145" s="4">
        <v>15.88</v>
      </c>
      <c r="O145" s="4">
        <v>16.55</v>
      </c>
      <c r="P145" s="4">
        <v>16.91</v>
      </c>
      <c r="Q145" s="4">
        <v>16.98</v>
      </c>
      <c r="R145" s="4">
        <v>16.329999999999998</v>
      </c>
      <c r="S145" s="4">
        <v>16.239999999999998</v>
      </c>
      <c r="T145" s="4">
        <v>16.12</v>
      </c>
      <c r="U145" s="4">
        <v>15.92</v>
      </c>
      <c r="V145" s="4">
        <v>15.97</v>
      </c>
      <c r="W145" s="4">
        <v>15.4</v>
      </c>
      <c r="X145" s="4">
        <v>15.35</v>
      </c>
      <c r="Y145" s="4">
        <v>15.15</v>
      </c>
      <c r="Z145" s="4">
        <v>15.26</v>
      </c>
      <c r="AA145" s="4">
        <v>14.84</v>
      </c>
      <c r="AB145" s="4">
        <v>15.11</v>
      </c>
      <c r="AC145" s="4">
        <v>16.7</v>
      </c>
      <c r="AD145" s="4">
        <v>15.84</v>
      </c>
      <c r="AE145" s="4">
        <v>14.79</v>
      </c>
      <c r="AF145" s="4">
        <v>15</v>
      </c>
      <c r="AG145" s="4">
        <v>15.39</v>
      </c>
      <c r="AH145" s="4">
        <v>14.39</v>
      </c>
      <c r="AI145" s="4">
        <v>14.23</v>
      </c>
      <c r="AJ145" s="4">
        <v>13.87</v>
      </c>
      <c r="AK145" s="4">
        <v>14.03</v>
      </c>
      <c r="AL145" s="4">
        <v>15.05</v>
      </c>
      <c r="AM145" s="4">
        <v>15.72</v>
      </c>
      <c r="AN145" s="4">
        <v>15.65</v>
      </c>
      <c r="AO145" s="4">
        <v>15.59</v>
      </c>
      <c r="AP145" s="4">
        <v>16.21</v>
      </c>
      <c r="AQ145" s="4">
        <v>16.510000000000002</v>
      </c>
      <c r="AR145" s="4">
        <v>16.45</v>
      </c>
      <c r="AS145" s="4">
        <v>16.5</v>
      </c>
      <c r="AT145" s="4">
        <v>16.75</v>
      </c>
      <c r="AU145" s="4">
        <v>18.510000000000002</v>
      </c>
      <c r="AV145" s="4">
        <v>18.649999999999999</v>
      </c>
      <c r="AW145" s="4">
        <v>16.98</v>
      </c>
      <c r="AX145" s="4">
        <v>18.93</v>
      </c>
      <c r="AY145" s="12">
        <v>19.149999999999999</v>
      </c>
      <c r="AZ145" s="12">
        <v>19.95</v>
      </c>
      <c r="BA145" s="12">
        <v>22</v>
      </c>
      <c r="BB145" s="15">
        <v>22.28</v>
      </c>
      <c r="BC145" s="52">
        <v>22.99</v>
      </c>
      <c r="BD145" s="52">
        <v>22.39</v>
      </c>
      <c r="BE145" s="52">
        <v>22.27</v>
      </c>
      <c r="BF145" s="52">
        <v>22.5</v>
      </c>
      <c r="BG145" s="67">
        <v>22.84</v>
      </c>
      <c r="BH145" s="52">
        <v>22.61</v>
      </c>
      <c r="BI145" s="52">
        <v>22.56</v>
      </c>
      <c r="BJ145" s="52">
        <v>23.45</v>
      </c>
      <c r="BK145" s="52">
        <v>22.5</v>
      </c>
      <c r="BL145" s="52">
        <v>22.64</v>
      </c>
      <c r="BM145" s="52">
        <v>21.78</v>
      </c>
      <c r="BN145" s="52">
        <v>21.19</v>
      </c>
      <c r="BO145" s="52" cm="1">
        <f t="array" aca="1" ref="BO145" ca="1">_FV(EC145,"Preço")</f>
        <v>21.19</v>
      </c>
      <c r="BP145" s="69" t="s">
        <v>141</v>
      </c>
      <c r="BQ145" s="36" cm="1">
        <f t="array" aca="1" ref="BQ145" ca="1">_FV(EC145,"Média de volume",TRUE)</f>
        <v>7644320</v>
      </c>
      <c r="BR145" s="36">
        <v>2700</v>
      </c>
      <c r="BS145" s="36" cm="1">
        <f t="array" aca="1" ref="BS145" ca="1">_FV(EC145,"Volume")</f>
        <v>2700</v>
      </c>
      <c r="BT145" s="24" cm="1">
        <f t="array" aca="1" ref="BT145" ca="1">_FV(EC145,"Beta")</f>
        <v>1.3745000000000001</v>
      </c>
      <c r="BU145" s="71" cm="1">
        <f t="array" aca="1" ref="BU145" ca="1">_FV(EC145,"Variação (%)",TRUE)</f>
        <v>-9.3500000000000007E-3</v>
      </c>
      <c r="BW145" s="17" cm="1">
        <f t="array" aca="1" ref="BW145" ca="1">_FV(EC145,"Baixo")</f>
        <v>21.17</v>
      </c>
      <c r="BX145" s="17" cm="1">
        <f t="array" aca="1" ref="BX145" ca="1">_FV(EC145,"Alto")</f>
        <v>21.97</v>
      </c>
      <c r="BY145" s="24"/>
      <c r="BZ145" s="63">
        <f ca="1">SQRT(22.5*(BO145/VLOOKUP(BP145,Fundamentus!A:U,3,FALSE))*(BO145/VLOOKUP(BP145,Fundamentus!A:U,4,FALSE)))</f>
        <v>10.647485411927125</v>
      </c>
      <c r="CB145" s="62">
        <f t="shared" ca="1" si="168"/>
        <v>0</v>
      </c>
      <c r="CC145" s="8"/>
      <c r="CD145" s="61">
        <f t="shared" si="169"/>
        <v>13.87</v>
      </c>
      <c r="CE145" s="61">
        <f t="shared" si="170"/>
        <v>23.45</v>
      </c>
      <c r="CF145" s="61">
        <f t="shared" si="171"/>
        <v>17.466818181818184</v>
      </c>
      <c r="CG145" s="14"/>
      <c r="CH145" s="35">
        <f t="shared" si="154"/>
        <v>19.28601036272946</v>
      </c>
      <c r="CI145" s="15">
        <f t="shared" si="172"/>
        <v>20.830000000000382</v>
      </c>
      <c r="CJ145" s="35">
        <f t="shared" si="155"/>
        <v>22.373989637271304</v>
      </c>
      <c r="CL145" s="14"/>
      <c r="CM145" s="17">
        <f t="shared" si="156"/>
        <v>5.9766666666666683</v>
      </c>
      <c r="CN145" s="17">
        <f t="shared" si="157"/>
        <v>9.9233333333333338</v>
      </c>
      <c r="CO145" s="17">
        <f t="shared" si="158"/>
        <v>15.556666666666668</v>
      </c>
      <c r="CP145" s="38">
        <f t="shared" si="173"/>
        <v>19.503333333333334</v>
      </c>
      <c r="CQ145" s="17">
        <f t="shared" si="159"/>
        <v>25.13666666666667</v>
      </c>
      <c r="CR145" s="17">
        <f t="shared" si="160"/>
        <v>29.083333333333336</v>
      </c>
      <c r="CS145" s="17">
        <f t="shared" si="161"/>
        <v>34.716666666666669</v>
      </c>
      <c r="CT145" s="2" cm="1">
        <f t="array" aca="1" ref="CT145" ca="1">MAX(_xlfn._xlws.FILTER(CM145:CS145,CM145:CS145&lt;BO145))</f>
        <v>19.503333333333334</v>
      </c>
      <c r="CU145" s="2" cm="1">
        <f t="array" aca="1" ref="CU145" ca="1">MIN(_xlfn._xlws.FILTER($CM145:$CS145,$CM145:$CS145&gt;BO145))</f>
        <v>25.13666666666667</v>
      </c>
      <c r="CV145" s="16">
        <f t="shared" ca="1" si="136"/>
        <v>0.28883951461288682</v>
      </c>
      <c r="CW145" s="20">
        <f t="shared" ca="1" si="137"/>
        <v>-0.14441975730644341</v>
      </c>
      <c r="CX145" s="20">
        <f t="shared" ca="1" si="138"/>
        <v>-9.6279838204295601E-2</v>
      </c>
      <c r="CY145" s="20">
        <f t="shared" ca="1" si="139"/>
        <v>-5.7767902922577365E-2</v>
      </c>
      <c r="CZ145" s="20">
        <f t="shared" ca="1" si="140"/>
        <v>-3.2093279401431869E-2</v>
      </c>
      <c r="DA145" s="20">
        <f t="shared" ca="1" si="141"/>
        <v>-1.699055968311099E-2</v>
      </c>
      <c r="DB145" s="20">
        <f t="shared" ca="1" si="142"/>
        <v>-8.7527125640268731E-3</v>
      </c>
      <c r="DC145" s="20">
        <f t="shared" ca="1" si="143"/>
        <v>-4.4436848401982589E-3</v>
      </c>
      <c r="DD145" s="21">
        <f t="shared" ca="1" si="144"/>
        <v>4.4436848401982589E-3</v>
      </c>
      <c r="DE145" s="21">
        <f t="shared" ca="1" si="145"/>
        <v>8.7527125640268731E-3</v>
      </c>
      <c r="DF145" s="21">
        <f t="shared" ca="1" si="146"/>
        <v>1.699055968311099E-2</v>
      </c>
      <c r="DG145" s="21">
        <f t="shared" ca="1" si="147"/>
        <v>3.2093279401431869E-2</v>
      </c>
      <c r="DH145" s="21">
        <f t="shared" ca="1" si="148"/>
        <v>5.7767902922577365E-2</v>
      </c>
      <c r="DI145" s="21">
        <f t="shared" ca="1" si="149"/>
        <v>9.6279838204295601E-2</v>
      </c>
      <c r="DJ145" s="21">
        <f t="shared" ca="1" si="150"/>
        <v>0.14441975730644341</v>
      </c>
      <c r="DL145" s="16" cm="1">
        <f t="array" aca="1" ref="DL145" ca="1">MAX(_xlfn._xlws.FILTER(CW145:DJ145,CW145:DJ145&lt;BU145))</f>
        <v>-1.699055968311099E-2</v>
      </c>
      <c r="DM145" s="16" cm="1">
        <f t="array" aca="1" ref="DM145" ca="1">MIN(_xlfn._xlws.FILTER(CW145:DJ145,CW145:DJ145&gt;BU145))</f>
        <v>-8.7527125640268731E-3</v>
      </c>
      <c r="DN145" s="2" cm="1">
        <f t="array" aca="1" ref="DN145" ca="1">_FV(EC145,"Fechamento anterior",TRUE)</f>
        <v>21.39</v>
      </c>
      <c r="DO145" s="28">
        <f t="shared" ca="1" si="162"/>
        <v>0.92747485414575459</v>
      </c>
      <c r="DP145" s="15">
        <f t="shared" ca="1" si="151"/>
        <v>21.026571928378257</v>
      </c>
      <c r="DQ145" s="15">
        <f t="shared" ca="1" si="152"/>
        <v>21.202779478255465</v>
      </c>
      <c r="DR145" s="9"/>
      <c r="DS145" s="9"/>
      <c r="DT145" s="9"/>
      <c r="DU145" s="89">
        <v>9.4165340996561868E-3</v>
      </c>
      <c r="DV145" s="89">
        <f t="shared" ca="1" si="163"/>
        <v>8.2378471190841171E-3</v>
      </c>
      <c r="DW145" s="72">
        <f t="shared" ca="1" si="164"/>
        <v>0.23316218665556401</v>
      </c>
      <c r="DX145" s="37"/>
      <c r="DY145" s="35">
        <f t="shared" si="174"/>
        <v>0.77199481863546138</v>
      </c>
      <c r="DZ145" s="56"/>
      <c r="EA145" s="56"/>
      <c r="EC145" s="2" t="e" vm="145">
        <v>#VALUE!</v>
      </c>
      <c r="EE145" s="10" cm="1">
        <f t="array" aca="1" ref="EE145" ca="1">_FV(EC145,"Ações em circulação",TRUE)</f>
        <v>10108690000</v>
      </c>
      <c r="EF145" s="18">
        <f>VLOOKUP(BP145,Fundamentus!A:U,5,FALSE)</f>
        <v>0</v>
      </c>
      <c r="EG145" s="2" t="e">
        <f t="shared" ca="1" si="165"/>
        <v>#DIV/0!</v>
      </c>
      <c r="EH145" s="17" t="e">
        <v>#DIV/0!</v>
      </c>
      <c r="EI145" s="17" t="e">
        <f t="shared" ca="1" si="166"/>
        <v>#DIV/0!</v>
      </c>
      <c r="EK145" s="16" t="e">
        <f t="shared" ca="1" si="153"/>
        <v>#DIV/0!</v>
      </c>
      <c r="EL145" s="32" t="str">
        <f>IF(VLOOKUP(BP145,Fundamentus!A:U,3,FALSE)&lt;15,"Bom",IF(VLOOKUP(BP145,Fundamentus!A:U,3,FALSE)&gt;15,"Ruim","n/a"))</f>
        <v>Ruim</v>
      </c>
      <c r="EM145" s="28" t="str">
        <f>IF(VLOOKUP(BP145,Fundamentus!A:U,4,FALSE)&lt;1,"Baixo",IF(VLOOKUP(BP145,Fundamentus!A:U,4,FALSE)&lt;1.5,"Moderado",IF(VLOOKUP(BP145,Fundamentus!A:U,4,FALSE)&gt;1.5,"Alto","n/a")))</f>
        <v>Alto</v>
      </c>
      <c r="EN145" s="17" t="str">
        <f>IF(VLOOKUP(BP145,Fundamentus!A:U,8,FALSE)&lt;0,"Risco elevado",IF(VLOOKUP(BP145,Fundamentus!A:U,8,FALSE)&lt;1,"Saudável",IF(VLOOKUP(BP145,Fundamentus!A:U,8,FALSE)&lt;3,"Estável",IF(VLOOKUP(BP145,Fundamentus!A:U,8,FALSE)&gt;3,"Alerta","n/a"))))</f>
        <v>Saudável</v>
      </c>
      <c r="EO145" s="28" t="str">
        <f t="shared" si="167"/>
        <v>Ruim</v>
      </c>
      <c r="EP145" s="17" t="str">
        <f>IF(VLOOKUP(BP145,Fundamentus!A:U,12,FALSE)&lt;2,"Subvalorizada",IF(VLOOKUP(BP145,Fundamentus!A:U,12,FALSE)&lt;6,"Muita barata",IF(VLOOKUP(BP145,Fundamentus!A:U,12,FALSE)&lt;6,"Barata",IF(VLOOKUP(BP145,Fundamentus!A:U,12,FALSE)&lt;8,"Atrativa",IF(VLOOKUP(BP145,Fundamentus!A:U,12,FALSE)&gt;8,"Supervalorizada","n/a")))))</f>
        <v>Subvalorizada</v>
      </c>
      <c r="ER145" s="17" t="str">
        <f>IF(VLOOKUP(BP145,Fundamentus!A:U,17,FALSE)&lt;0.1,"Fraco retorno",IF(VLOOKUP(BP145,Fundamentus!A:U,17,FALSE)&gt;0.1,"Bom retorno","n/a"))</f>
        <v>Bom retorno</v>
      </c>
      <c r="ES145" s="17" t="str">
        <f>IF(VLOOKUP(BP145,Fundamentus!A:U,16,FALSE)&lt;0.1,"Ineficiente",IF(VLOOKUP(BP145,Fundamentus!A:U,16,FALSE)&gt;0.1,"Eficiente","n/a"))</f>
        <v>Ineficiente</v>
      </c>
      <c r="ET145" s="33" t="str">
        <f>IF(VLOOKUP(BP145,Fundamentus!A:U,16,FALSE)&lt;0.1,"Oper. Ineficiente",IF(VLOOKUP(BP145,Fundamentus!A:U,16,FALSE)&gt;0.1,"Oper.Eficiente","n/a"))</f>
        <v>Oper. Ineficiente</v>
      </c>
      <c r="EU145" s="34">
        <f>VLOOKUP(BP145,Fundamentus!A:U,14,FALSE)</f>
        <v>0</v>
      </c>
      <c r="EV145" s="17" t="str">
        <f>IF(VLOOKUP(BP145,Fundamentus!A:U,21,FALSE)&lt;0,"Negativo",IF(VLOOKUP(BP145,Fundamentus!A:U,21,FALSE)&lt;0.05,"Fraco",IF(VLOOKUP(BP145,Fundamentus!A:U,21,FALSE)&lt;0.1,"Bom",IF(VLOOKUP(BP145,Fundamentus!A:U,21,FALSE)&gt;0.1,"Muito bom","n/a"))))</f>
        <v>Muito bom</v>
      </c>
      <c r="EX145" s="29" t="str">
        <f>IF(VLOOKUP(BP145,Fundamentus!A:U,15,FALSE)&gt;1,"Bom",IF(VLOOKUP(BP145,Fundamentus!A:U,15,FALSE)&lt;1,"Ruim","n/a"))</f>
        <v>Ruim</v>
      </c>
      <c r="EY145" s="17" t="str">
        <f>IF(VLOOKUP(BP145,Fundamentus!A:U,20,FALSE)&lt;0.5,"Baixa",IF(VLOOKUP(BP145,Fundamentus!A:U,20,FALSE)&lt;1,"Moderada",IF(VLOOKUP(BP145,Fundamentus!A:U,20,FALSE)&lt;2,"Alerta",IF(VLOOKUP(BP145,Fundamentus!A:U,20,FALSE)&gt;2,"Alta","n/a"))))</f>
        <v>Baixa</v>
      </c>
      <c r="EZ145" s="10"/>
    </row>
    <row r="146" spans="1:156" s="2" customFormat="1" ht="11.25" x14ac:dyDescent="0.2">
      <c r="A146" s="4">
        <v>22.87</v>
      </c>
      <c r="B146" s="4">
        <v>23.92</v>
      </c>
      <c r="C146" s="4">
        <v>23.06</v>
      </c>
      <c r="D146" s="4">
        <v>22.16</v>
      </c>
      <c r="E146" s="4">
        <v>21.71</v>
      </c>
      <c r="F146" s="4">
        <v>21.73</v>
      </c>
      <c r="G146" s="4">
        <v>20.350000000000001</v>
      </c>
      <c r="H146" s="4">
        <v>20.45</v>
      </c>
      <c r="I146" s="4">
        <v>20.9</v>
      </c>
      <c r="J146" s="4">
        <v>22.78</v>
      </c>
      <c r="K146" s="4">
        <v>23.14</v>
      </c>
      <c r="L146" s="4">
        <v>22.54</v>
      </c>
      <c r="M146" s="4">
        <v>23.16</v>
      </c>
      <c r="N146" s="4">
        <v>24.36</v>
      </c>
      <c r="O146" s="4">
        <v>26.47</v>
      </c>
      <c r="P146" s="4">
        <v>26.3</v>
      </c>
      <c r="Q146" s="4">
        <v>27.02</v>
      </c>
      <c r="R146" s="4">
        <v>26.42</v>
      </c>
      <c r="S146" s="4">
        <v>27.97</v>
      </c>
      <c r="T146" s="4">
        <v>28.57</v>
      </c>
      <c r="U146" s="4">
        <v>28</v>
      </c>
      <c r="V146" s="4">
        <v>27.11</v>
      </c>
      <c r="W146" s="4">
        <v>27.7</v>
      </c>
      <c r="X146" s="4">
        <v>26.92</v>
      </c>
      <c r="Y146" s="4">
        <v>25.28</v>
      </c>
      <c r="Z146" s="4">
        <v>24.71</v>
      </c>
      <c r="AA146" s="4">
        <v>24.74</v>
      </c>
      <c r="AB146" s="4">
        <v>25.5</v>
      </c>
      <c r="AC146" s="4">
        <v>24</v>
      </c>
      <c r="AD146" s="4">
        <v>23.77</v>
      </c>
      <c r="AE146" s="4">
        <v>22.93</v>
      </c>
      <c r="AF146" s="4">
        <v>22.72</v>
      </c>
      <c r="AG146" s="4">
        <v>21.41</v>
      </c>
      <c r="AH146" s="4">
        <v>19.96</v>
      </c>
      <c r="AI146" s="4">
        <v>19.27</v>
      </c>
      <c r="AJ146" s="4">
        <v>18.100000000000001</v>
      </c>
      <c r="AK146" s="4">
        <v>18.5</v>
      </c>
      <c r="AL146" s="4">
        <v>19.2</v>
      </c>
      <c r="AM146" s="4">
        <v>20.239999999999998</v>
      </c>
      <c r="AN146" s="4">
        <v>21.43</v>
      </c>
      <c r="AO146" s="4">
        <v>19.989999999999998</v>
      </c>
      <c r="AP146" s="4">
        <v>18.989999999999998</v>
      </c>
      <c r="AQ146" s="4">
        <v>19.16</v>
      </c>
      <c r="AR146" s="4">
        <v>17.059999999999999</v>
      </c>
      <c r="AS146" s="4">
        <v>17.79</v>
      </c>
      <c r="AT146" s="4">
        <v>17.850000000000001</v>
      </c>
      <c r="AU146" s="4">
        <v>19.195</v>
      </c>
      <c r="AV146" s="4">
        <v>20.09</v>
      </c>
      <c r="AW146" s="4">
        <v>19.829999999999998</v>
      </c>
      <c r="AX146" s="4">
        <v>19.899999999999999</v>
      </c>
      <c r="AY146" s="12">
        <v>19.920000000000002</v>
      </c>
      <c r="AZ146" s="12">
        <v>21.14</v>
      </c>
      <c r="BA146" s="12">
        <v>22.11</v>
      </c>
      <c r="BB146" s="15">
        <v>21.9</v>
      </c>
      <c r="BC146" s="52">
        <v>24.14</v>
      </c>
      <c r="BD146" s="52">
        <v>24.61</v>
      </c>
      <c r="BE146" s="52">
        <v>25.99</v>
      </c>
      <c r="BF146" s="52">
        <v>24.62</v>
      </c>
      <c r="BG146" s="67">
        <v>24.36</v>
      </c>
      <c r="BH146" s="52">
        <v>25.47</v>
      </c>
      <c r="BI146" s="52">
        <v>26.18</v>
      </c>
      <c r="BJ146" s="52">
        <v>27.23</v>
      </c>
      <c r="BK146" s="52">
        <v>25.51</v>
      </c>
      <c r="BL146" s="52">
        <v>25.58</v>
      </c>
      <c r="BM146" s="52">
        <v>25.25</v>
      </c>
      <c r="BN146" s="52">
        <v>25.72</v>
      </c>
      <c r="BO146" s="52" cm="1">
        <f t="array" aca="1" ref="BO146" ca="1">_FV(EC146,"Preço")</f>
        <v>25.72</v>
      </c>
      <c r="BP146" s="69" t="s">
        <v>142</v>
      </c>
      <c r="BQ146" s="36" cm="1">
        <f t="array" aca="1" ref="BQ146" ca="1">_FV(EC146,"Média de volume",TRUE)</f>
        <v>3503080</v>
      </c>
      <c r="BR146" s="36">
        <v>3044600</v>
      </c>
      <c r="BS146" s="36" cm="1">
        <f t="array" aca="1" ref="BS146" ca="1">_FV(EC146,"Volume")</f>
        <v>3044600</v>
      </c>
      <c r="BT146" s="24" cm="1">
        <f t="array" aca="1" ref="BT146" ca="1">_FV(EC146,"Beta")</f>
        <v>1.4478</v>
      </c>
      <c r="BU146" s="71" cm="1">
        <f t="array" aca="1" ref="BU146" ca="1">_FV(EC146,"Variação (%)",TRUE)</f>
        <v>1.1802E-2</v>
      </c>
      <c r="BW146" s="17" cm="1">
        <f t="array" aca="1" ref="BW146" ca="1">_FV(EC146,"Baixo")</f>
        <v>25.58</v>
      </c>
      <c r="BX146" s="17" cm="1">
        <f t="array" aca="1" ref="BX146" ca="1">_FV(EC146,"Alto")</f>
        <v>26.31</v>
      </c>
      <c r="BY146" s="24"/>
      <c r="BZ146" s="63">
        <f ca="1">SQRT(22.5*(BO146/VLOOKUP(BP146,Fundamentus!A:U,3,FALSE))*(BO146/VLOOKUP(BP146,Fundamentus!A:U,4,FALSE)))</f>
        <v>28.109709306326739</v>
      </c>
      <c r="CB146" s="62">
        <f t="shared" ca="1" si="168"/>
        <v>0</v>
      </c>
      <c r="CC146" s="8"/>
      <c r="CD146" s="61">
        <f t="shared" si="169"/>
        <v>17.059999999999999</v>
      </c>
      <c r="CE146" s="61">
        <f t="shared" si="170"/>
        <v>28.57</v>
      </c>
      <c r="CF146" s="61">
        <f t="shared" si="171"/>
        <v>22.984166666666663</v>
      </c>
      <c r="CG146" s="14"/>
      <c r="CH146" s="35">
        <f t="shared" si="154"/>
        <v>24.18444530522644</v>
      </c>
      <c r="CI146" s="15">
        <f t="shared" si="172"/>
        <v>25.590000000000003</v>
      </c>
      <c r="CJ146" s="35">
        <f t="shared" si="155"/>
        <v>26.995554694773567</v>
      </c>
      <c r="CL146" s="14"/>
      <c r="CM146" s="17">
        <f t="shared" si="156"/>
        <v>7.486666666666661</v>
      </c>
      <c r="CN146" s="17">
        <f t="shared" si="157"/>
        <v>12.27333333333333</v>
      </c>
      <c r="CO146" s="17">
        <f t="shared" si="158"/>
        <v>18.996666666666663</v>
      </c>
      <c r="CP146" s="38">
        <f t="shared" si="173"/>
        <v>23.783333333333331</v>
      </c>
      <c r="CQ146" s="17">
        <f t="shared" si="159"/>
        <v>30.506666666666664</v>
      </c>
      <c r="CR146" s="17">
        <f t="shared" si="160"/>
        <v>35.293333333333337</v>
      </c>
      <c r="CS146" s="17">
        <f t="shared" si="161"/>
        <v>42.016666666666666</v>
      </c>
      <c r="CT146" s="2" cm="1">
        <f t="array" aca="1" ref="CT146" ca="1">MAX(_xlfn._xlws.FILTER(CM146:CS146,CM146:CS146&lt;BO146))</f>
        <v>23.783333333333331</v>
      </c>
      <c r="CU146" s="2" cm="1">
        <f t="array" aca="1" ref="CU146" ca="1">MIN(_xlfn._xlws.FILTER($CM146:$CS146,$CM146:$CS146&gt;BO146))</f>
        <v>30.506666666666664</v>
      </c>
      <c r="CV146" s="16">
        <f t="shared" ca="1" si="136"/>
        <v>0.28269096005606165</v>
      </c>
      <c r="CW146" s="20">
        <f t="shared" ca="1" si="137"/>
        <v>-0.14134548002803082</v>
      </c>
      <c r="CX146" s="20">
        <f t="shared" ca="1" si="138"/>
        <v>-9.4230320018687211E-2</v>
      </c>
      <c r="CY146" s="20">
        <f t="shared" ca="1" si="139"/>
        <v>-5.6538192011212331E-2</v>
      </c>
      <c r="CZ146" s="20">
        <f t="shared" ca="1" si="140"/>
        <v>-3.1410106672895739E-2</v>
      </c>
      <c r="DA146" s="20">
        <f t="shared" ca="1" si="141"/>
        <v>-1.6628880003297743E-2</v>
      </c>
      <c r="DB146" s="20">
        <f t="shared" ca="1" si="142"/>
        <v>-8.5663927289715645E-3</v>
      </c>
      <c r="DC146" s="20">
        <f t="shared" ca="1" si="143"/>
        <v>-4.3490916931701795E-3</v>
      </c>
      <c r="DD146" s="21">
        <f t="shared" ca="1" si="144"/>
        <v>4.3490916931701795E-3</v>
      </c>
      <c r="DE146" s="21">
        <f t="shared" ca="1" si="145"/>
        <v>8.5663927289715645E-3</v>
      </c>
      <c r="DF146" s="21">
        <f t="shared" ca="1" si="146"/>
        <v>1.6628880003297743E-2</v>
      </c>
      <c r="DG146" s="21">
        <f t="shared" ca="1" si="147"/>
        <v>3.1410106672895739E-2</v>
      </c>
      <c r="DH146" s="21">
        <f t="shared" ca="1" si="148"/>
        <v>5.6538192011212331E-2</v>
      </c>
      <c r="DI146" s="21">
        <f t="shared" ca="1" si="149"/>
        <v>9.4230320018687211E-2</v>
      </c>
      <c r="DJ146" s="21">
        <f t="shared" ca="1" si="150"/>
        <v>0.14134548002803082</v>
      </c>
      <c r="DL146" s="16" cm="1">
        <f t="array" aca="1" ref="DL146" ca="1">MAX(_xlfn._xlws.FILTER(CW146:DJ146,CW146:DJ146&lt;BU146))</f>
        <v>8.5663927289715645E-3</v>
      </c>
      <c r="DM146" s="16" cm="1">
        <f t="array" aca="1" ref="DM146" ca="1">MIN(_xlfn._xlws.FILTER(CW146:DJ146,CW146:DJ146&gt;BU146))</f>
        <v>1.6628880003297743E-2</v>
      </c>
      <c r="DN146" s="2" cm="1">
        <f t="array" aca="1" ref="DN146" ca="1">_FV(EC146,"Fechamento anterior",TRUE)</f>
        <v>25.42</v>
      </c>
      <c r="DO146" s="28">
        <f t="shared" ca="1" si="162"/>
        <v>0.40128288969408277</v>
      </c>
      <c r="DP146" s="15">
        <f t="shared" ca="1" si="151"/>
        <v>25.637757703170458</v>
      </c>
      <c r="DQ146" s="15">
        <f t="shared" ca="1" si="152"/>
        <v>25.84270612968383</v>
      </c>
      <c r="DR146" s="9"/>
      <c r="DS146" s="9"/>
      <c r="DT146" s="9"/>
      <c r="DU146" s="89">
        <v>4.1962624745941713E-3</v>
      </c>
      <c r="DV146" s="89">
        <f t="shared" ca="1" si="163"/>
        <v>8.0624872743261782E-3</v>
      </c>
      <c r="DW146" s="72">
        <f t="shared" ca="1" si="164"/>
        <v>9.2490175219356083E-2</v>
      </c>
      <c r="DX146" s="37"/>
      <c r="DY146" s="35">
        <f t="shared" si="174"/>
        <v>0.70277734738678099</v>
      </c>
      <c r="DZ146" s="56"/>
      <c r="EA146" s="56"/>
      <c r="EC146" s="2" t="e" vm="146">
        <v>#VALUE!</v>
      </c>
      <c r="EE146" s="10" cm="1">
        <f t="array" aca="1" ref="EE146" ca="1">_FV(EC146,"Ações em circulação",TRUE)</f>
        <v>236197800</v>
      </c>
      <c r="EF146" s="18">
        <f>VLOOKUP(BP146,Fundamentus!A:U,5,FALSE)</f>
        <v>2.246</v>
      </c>
      <c r="EG146" s="2">
        <f t="shared" ca="1" si="165"/>
        <v>2704811850.4007125</v>
      </c>
      <c r="EH146" s="17">
        <v>742200371.74995542</v>
      </c>
      <c r="EI146" s="17">
        <f t="shared" ca="1" si="166"/>
        <v>742200371.74995542</v>
      </c>
      <c r="EK146" s="16">
        <f t="shared" ca="1" si="153"/>
        <v>0</v>
      </c>
      <c r="EL146" s="32" t="str">
        <f>IF(VLOOKUP(BP146,Fundamentus!A:U,3,FALSE)&lt;15,"Bom",IF(VLOOKUP(BP146,Fundamentus!A:U,3,FALSE)&gt;15,"Ruim","n/a"))</f>
        <v>Bom</v>
      </c>
      <c r="EM146" s="28" t="str">
        <f>IF(VLOOKUP(BP146,Fundamentus!A:U,4,FALSE)&lt;1,"Baixo",IF(VLOOKUP(BP146,Fundamentus!A:U,4,FALSE)&lt;1.5,"Moderado",IF(VLOOKUP(BP146,Fundamentus!A:U,4,FALSE)&gt;1.5,"Alto","n/a")))</f>
        <v>Alto</v>
      </c>
      <c r="EN146" s="17" t="str">
        <f>IF(VLOOKUP(BP146,Fundamentus!A:U,8,FALSE)&lt;0,"Risco elevado",IF(VLOOKUP(BP146,Fundamentus!A:U,8,FALSE)&lt;1,"Saudável",IF(VLOOKUP(BP146,Fundamentus!A:U,8,FALSE)&lt;3,"Estável",IF(VLOOKUP(BP146,Fundamentus!A:U,8,FALSE)&gt;3,"Alerta","n/a"))))</f>
        <v>Alerta</v>
      </c>
      <c r="EO146" s="28" t="str">
        <f t="shared" si="167"/>
        <v>Bom</v>
      </c>
      <c r="EP146" s="17" t="str">
        <f>IF(VLOOKUP(BP146,Fundamentus!A:U,12,FALSE)&lt;2,"Subvalorizada",IF(VLOOKUP(BP146,Fundamentus!A:U,12,FALSE)&lt;6,"Muita barata",IF(VLOOKUP(BP146,Fundamentus!A:U,12,FALSE)&lt;6,"Barata",IF(VLOOKUP(BP146,Fundamentus!A:U,12,FALSE)&lt;8,"Atrativa",IF(VLOOKUP(BP146,Fundamentus!A:U,12,FALSE)&gt;8,"Supervalorizada","n/a")))))</f>
        <v>Atrativa</v>
      </c>
      <c r="ER146" s="17" t="str">
        <f>IF(VLOOKUP(BP146,Fundamentus!A:U,17,FALSE)&lt;0.1,"Fraco retorno",IF(VLOOKUP(BP146,Fundamentus!A:U,17,FALSE)&gt;0.1,"Bom retorno","n/a"))</f>
        <v>Bom retorno</v>
      </c>
      <c r="ES146" s="17" t="str">
        <f>IF(VLOOKUP(BP146,Fundamentus!A:U,16,FALSE)&lt;0.1,"Ineficiente",IF(VLOOKUP(BP146,Fundamentus!A:U,16,FALSE)&gt;0.1,"Eficiente","n/a"))</f>
        <v>Eficiente</v>
      </c>
      <c r="ET146" s="33" t="str">
        <f>IF(VLOOKUP(BP146,Fundamentus!A:U,16,FALSE)&lt;0.1,"Oper. Ineficiente",IF(VLOOKUP(BP146,Fundamentus!A:U,16,FALSE)&gt;0.1,"Oper.Eficiente","n/a"))</f>
        <v>Oper.Eficiente</v>
      </c>
      <c r="EU146" s="34">
        <f>VLOOKUP(BP146,Fundamentus!A:U,14,FALSE)</f>
        <v>0.27439999999999998</v>
      </c>
      <c r="EV146" s="17" t="str">
        <f>IF(VLOOKUP(BP146,Fundamentus!A:U,21,FALSE)&lt;0,"Negativo",IF(VLOOKUP(BP146,Fundamentus!A:U,21,FALSE)&lt;0.05,"Fraco",IF(VLOOKUP(BP146,Fundamentus!A:U,21,FALSE)&lt;0.1,"Bom",IF(VLOOKUP(BP146,Fundamentus!A:U,21,FALSE)&gt;0.1,"Muito bom","n/a"))))</f>
        <v>Muito bom</v>
      </c>
      <c r="EX146" s="29" t="str">
        <f>IF(VLOOKUP(BP146,Fundamentus!A:U,15,FALSE)&gt;1,"Bom",IF(VLOOKUP(BP146,Fundamentus!A:U,15,FALSE)&lt;1,"Ruim","n/a"))</f>
        <v>Bom</v>
      </c>
      <c r="EY146" s="17" t="str">
        <f>IF(VLOOKUP(BP146,Fundamentus!A:U,20,FALSE)&lt;0.5,"Baixa",IF(VLOOKUP(BP146,Fundamentus!A:U,20,FALSE)&lt;1,"Moderada",IF(VLOOKUP(BP146,Fundamentus!A:U,20,FALSE)&lt;2,"Alerta",IF(VLOOKUP(BP146,Fundamentus!A:U,20,FALSE)&gt;2,"Alta","n/a"))))</f>
        <v>Baixa</v>
      </c>
      <c r="EZ146" s="10"/>
    </row>
    <row r="147" spans="1:156" s="2" customFormat="1" ht="11.25" x14ac:dyDescent="0.2">
      <c r="A147" s="4">
        <v>22.9</v>
      </c>
      <c r="B147" s="4">
        <v>22.25</v>
      </c>
      <c r="C147" s="4">
        <v>22.7</v>
      </c>
      <c r="D147" s="4">
        <v>21.82</v>
      </c>
      <c r="E147" s="4">
        <v>21.68</v>
      </c>
      <c r="F147" s="4">
        <v>21.94</v>
      </c>
      <c r="G147" s="4">
        <v>22.43</v>
      </c>
      <c r="H147" s="4">
        <v>22.89</v>
      </c>
      <c r="I147" s="4">
        <v>23.35</v>
      </c>
      <c r="J147" s="4">
        <v>24.74</v>
      </c>
      <c r="K147" s="4">
        <v>23.39</v>
      </c>
      <c r="L147" s="4">
        <v>23.15</v>
      </c>
      <c r="M147" s="4">
        <v>21.45</v>
      </c>
      <c r="N147" s="4">
        <v>22.49</v>
      </c>
      <c r="O147" s="4">
        <v>23.55</v>
      </c>
      <c r="P147" s="4">
        <v>23.81</v>
      </c>
      <c r="Q147" s="4">
        <v>24.57</v>
      </c>
      <c r="R147" s="4">
        <v>23.4</v>
      </c>
      <c r="S147" s="4">
        <v>23.1</v>
      </c>
      <c r="T147" s="4">
        <v>23.15</v>
      </c>
      <c r="U147" s="4">
        <v>22.63</v>
      </c>
      <c r="V147" s="4">
        <v>22.35</v>
      </c>
      <c r="W147" s="4">
        <v>23.22</v>
      </c>
      <c r="X147" s="4">
        <v>21.83</v>
      </c>
      <c r="Y147" s="4">
        <v>21.66</v>
      </c>
      <c r="Z147" s="4">
        <v>22.31</v>
      </c>
      <c r="AA147" s="4">
        <v>22.4</v>
      </c>
      <c r="AB147" s="4">
        <v>23.36</v>
      </c>
      <c r="AC147" s="4">
        <v>22.14</v>
      </c>
      <c r="AD147" s="4">
        <v>21.7</v>
      </c>
      <c r="AE147" s="4">
        <v>20.2</v>
      </c>
      <c r="AF147" s="4">
        <v>21.59</v>
      </c>
      <c r="AG147" s="4">
        <v>19.14</v>
      </c>
      <c r="AH147" s="4">
        <v>17.829999999999998</v>
      </c>
      <c r="AI147" s="4">
        <v>18.27</v>
      </c>
      <c r="AJ147" s="4">
        <v>17.98</v>
      </c>
      <c r="AK147" s="4">
        <v>18.02</v>
      </c>
      <c r="AL147" s="4">
        <v>18.739999999999998</v>
      </c>
      <c r="AM147" s="4">
        <v>16.55</v>
      </c>
      <c r="AN147" s="4">
        <v>18.899999999999999</v>
      </c>
      <c r="AO147" s="4">
        <v>19</v>
      </c>
      <c r="AP147" s="4">
        <v>19.03</v>
      </c>
      <c r="AQ147" s="4">
        <v>18.86</v>
      </c>
      <c r="AR147" s="4">
        <v>18.309999999999999</v>
      </c>
      <c r="AS147" s="4">
        <v>17.37</v>
      </c>
      <c r="AT147" s="4">
        <v>18.05</v>
      </c>
      <c r="AU147" s="4">
        <v>18.18</v>
      </c>
      <c r="AV147" s="4">
        <v>18.3</v>
      </c>
      <c r="AW147" s="4">
        <v>17.88</v>
      </c>
      <c r="AX147" s="4">
        <v>18.78</v>
      </c>
      <c r="AY147" s="12">
        <v>19.16</v>
      </c>
      <c r="AZ147" s="12">
        <v>20.010000000000002</v>
      </c>
      <c r="BA147" s="12">
        <v>21</v>
      </c>
      <c r="BB147" s="15">
        <v>20.75</v>
      </c>
      <c r="BC147" s="52">
        <v>21.32</v>
      </c>
      <c r="BD147" s="52">
        <v>21.63</v>
      </c>
      <c r="BE147" s="52">
        <v>21.14</v>
      </c>
      <c r="BF147" s="52">
        <v>21.56</v>
      </c>
      <c r="BG147" s="67">
        <v>20.73</v>
      </c>
      <c r="BH147" s="52">
        <v>20.73</v>
      </c>
      <c r="BI147" s="52">
        <v>20.72</v>
      </c>
      <c r="BJ147" s="52">
        <v>20.78</v>
      </c>
      <c r="BK147" s="52">
        <v>20.09</v>
      </c>
      <c r="BL147" s="52">
        <v>19.79</v>
      </c>
      <c r="BM147" s="52">
        <v>20.5</v>
      </c>
      <c r="BN147" s="52">
        <v>20.420000000000002</v>
      </c>
      <c r="BO147" s="52" cm="1">
        <f t="array" aca="1" ref="BO147" ca="1">_FV(EC147,"Preço")</f>
        <v>20.420000000000002</v>
      </c>
      <c r="BP147" s="69" t="s">
        <v>143</v>
      </c>
      <c r="BQ147" s="36" cm="1">
        <f t="array" aca="1" ref="BQ147" ca="1">_FV(EC147,"Média de volume",TRUE)</f>
        <v>257940</v>
      </c>
      <c r="BR147" s="36">
        <v>393800</v>
      </c>
      <c r="BS147" s="36" cm="1">
        <f t="array" aca="1" ref="BS147" ca="1">_FV(EC147,"Volume")</f>
        <v>393800</v>
      </c>
      <c r="BT147" s="24" cm="1">
        <f t="array" aca="1" ref="BT147" ca="1">_FV(EC147,"Beta")</f>
        <v>1.1114999999999999</v>
      </c>
      <c r="BU147" s="71" cm="1">
        <f t="array" aca="1" ref="BU147" ca="1">_FV(EC147,"Variação (%)",TRUE)</f>
        <v>-2.9005999999999997E-2</v>
      </c>
      <c r="BW147" s="17" cm="1">
        <f t="array" aca="1" ref="BW147" ca="1">_FV(EC147,"Baixo")</f>
        <v>20.420000000000002</v>
      </c>
      <c r="BX147" s="17" cm="1">
        <f t="array" aca="1" ref="BX147" ca="1">_FV(EC147,"Alto")</f>
        <v>21.23</v>
      </c>
      <c r="BY147" s="24"/>
      <c r="BZ147" s="63">
        <f ca="1">SQRT(22.5*(BO147/VLOOKUP(BP147,Fundamentus!A:U,3,FALSE))*(BO147/VLOOKUP(BP147,Fundamentus!A:U,4,FALSE)))</f>
        <v>65.590218484326755</v>
      </c>
      <c r="CB147" s="62">
        <f t="shared" ca="1" si="168"/>
        <v>0</v>
      </c>
      <c r="CC147" s="8"/>
      <c r="CD147" s="61">
        <f t="shared" si="169"/>
        <v>16.55</v>
      </c>
      <c r="CE147" s="61">
        <f t="shared" si="170"/>
        <v>24.74</v>
      </c>
      <c r="CF147" s="61">
        <f t="shared" si="171"/>
        <v>20.96469696969697</v>
      </c>
      <c r="CG147" s="14"/>
      <c r="CH147" s="35">
        <f t="shared" si="154"/>
        <v>19.93930619078192</v>
      </c>
      <c r="CI147" s="15">
        <f t="shared" si="172"/>
        <v>20.625</v>
      </c>
      <c r="CJ147" s="35">
        <f t="shared" si="155"/>
        <v>21.31069380921808</v>
      </c>
      <c r="CL147" s="14"/>
      <c r="CM147" s="17">
        <f t="shared" si="156"/>
        <v>8.2100000000000044</v>
      </c>
      <c r="CN147" s="17">
        <f t="shared" si="157"/>
        <v>12.380000000000003</v>
      </c>
      <c r="CO147" s="17">
        <f t="shared" si="158"/>
        <v>16.400000000000002</v>
      </c>
      <c r="CP147" s="38">
        <f t="shared" si="173"/>
        <v>20.57</v>
      </c>
      <c r="CQ147" s="17">
        <f t="shared" si="159"/>
        <v>24.59</v>
      </c>
      <c r="CR147" s="17">
        <f t="shared" si="160"/>
        <v>28.759999999999998</v>
      </c>
      <c r="CS147" s="17">
        <f t="shared" si="161"/>
        <v>32.78</v>
      </c>
      <c r="CT147" s="2" cm="1">
        <f t="array" aca="1" ref="CT147" ca="1">MAX(_xlfn._xlws.FILTER(CM147:CS147,CM147:CS147&lt;BO147))</f>
        <v>16.400000000000002</v>
      </c>
      <c r="CU147" s="2" cm="1">
        <f t="array" aca="1" ref="CU147" ca="1">MIN(_xlfn._xlws.FILTER($CM147:$CS147,$CM147:$CS147&gt;BO147))</f>
        <v>20.57</v>
      </c>
      <c r="CV147" s="16">
        <f t="shared" ref="CV147:CV178" ca="1" si="175">(CU147/CT147)-1</f>
        <v>0.25426829268292672</v>
      </c>
      <c r="CW147" s="20">
        <f t="shared" ref="CW147:CW178" ca="1" si="176">-$CV147/2</f>
        <v>-0.12713414634146336</v>
      </c>
      <c r="CX147" s="20">
        <f t="shared" ref="CX147:CX178" ca="1" si="177">-$CV147/3</f>
        <v>-8.4756097560975574E-2</v>
      </c>
      <c r="CY147" s="20">
        <f t="shared" ref="CY147:CY178" ca="1" si="178">-$CV147/5</f>
        <v>-5.0853658536585342E-2</v>
      </c>
      <c r="CZ147" s="20">
        <f t="shared" ref="CZ147:CZ178" ca="1" si="179">-$CV147/9</f>
        <v>-2.8252032520325192E-2</v>
      </c>
      <c r="DA147" s="20">
        <f t="shared" ref="DA147:DA178" ca="1" si="180">-$CV147/17</f>
        <v>-1.4956958393113336E-2</v>
      </c>
      <c r="DB147" s="20">
        <f t="shared" ref="DB147:DB178" ca="1" si="181">-$CV147/33</f>
        <v>-7.705099778270507E-3</v>
      </c>
      <c r="DC147" s="20">
        <f t="shared" ref="DC147:DC178" ca="1" si="182">-$CV147/65</f>
        <v>-3.9118198874296415E-3</v>
      </c>
      <c r="DD147" s="21">
        <f t="shared" ref="DD147:DD178" ca="1" si="183">-$CV147/65*-1</f>
        <v>3.9118198874296415E-3</v>
      </c>
      <c r="DE147" s="21">
        <f t="shared" ref="DE147:DE178" ca="1" si="184">-$CV147/33*-1</f>
        <v>7.705099778270507E-3</v>
      </c>
      <c r="DF147" s="21">
        <f t="shared" ref="DF147:DF178" ca="1" si="185">-$CV147/17*-1</f>
        <v>1.4956958393113336E-2</v>
      </c>
      <c r="DG147" s="21">
        <f t="shared" ref="DG147:DG178" ca="1" si="186">-$CV147/9*-1</f>
        <v>2.8252032520325192E-2</v>
      </c>
      <c r="DH147" s="21">
        <f t="shared" ref="DH147:DH178" ca="1" si="187">-$CV147/5*-1</f>
        <v>5.0853658536585342E-2</v>
      </c>
      <c r="DI147" s="21">
        <f t="shared" ref="DI147:DI178" ca="1" si="188">-$CV147/3*-1</f>
        <v>8.4756097560975574E-2</v>
      </c>
      <c r="DJ147" s="21">
        <f t="shared" ref="DJ147:DJ178" ca="1" si="189">-$CV147/2*-1</f>
        <v>0.12713414634146336</v>
      </c>
      <c r="DL147" s="16" cm="1">
        <f t="array" aca="1" ref="DL147" ca="1">MAX(_xlfn._xlws.FILTER(CW147:DJ147,CW147:DJ147&lt;BU147))</f>
        <v>-5.0853658536585342E-2</v>
      </c>
      <c r="DM147" s="16" cm="1">
        <f t="array" aca="1" ref="DM147" ca="1">MIN(_xlfn._xlws.FILTER(CW147:DJ147,CW147:DJ147&gt;BU147))</f>
        <v>-2.8252032520325192E-2</v>
      </c>
      <c r="DN147" s="2" cm="1">
        <f t="array" aca="1" ref="DN147" ca="1">_FV(EC147,"Fechamento anterior",TRUE)</f>
        <v>21.03</v>
      </c>
      <c r="DO147" s="28">
        <f t="shared" ca="1" si="162"/>
        <v>0.9666329703712041</v>
      </c>
      <c r="DP147" s="15">
        <f t="shared" ref="DP147:DP178" ca="1" si="190">DN147+(DN147*DL147)</f>
        <v>19.960547560975613</v>
      </c>
      <c r="DQ147" s="15">
        <f t="shared" ref="DQ147:DQ178" ca="1" si="191">DN147+(DN147*DM147)</f>
        <v>20.435859756097564</v>
      </c>
      <c r="DR147" s="9"/>
      <c r="DS147" s="9"/>
      <c r="DT147" s="9"/>
      <c r="DU147" s="89">
        <v>1.6633922724295997E-2</v>
      </c>
      <c r="DV147" s="89">
        <f t="shared" ca="1" si="163"/>
        <v>2.2601626016260149E-2</v>
      </c>
      <c r="DW147" s="72">
        <f t="shared" ca="1" si="164"/>
        <v>-0.29896726096122533</v>
      </c>
      <c r="DX147" s="37"/>
      <c r="DY147" s="35">
        <f t="shared" si="174"/>
        <v>0.34284690460904049</v>
      </c>
      <c r="DZ147" s="56"/>
      <c r="EA147" s="56"/>
      <c r="EC147" s="2" t="e" vm="147">
        <v>#VALUE!</v>
      </c>
      <c r="EE147" s="10" cm="1">
        <f t="array" aca="1" ref="EE147" ca="1">_FV(EC147,"Ações em circulação",TRUE)</f>
        <v>87859150</v>
      </c>
      <c r="EF147" s="18">
        <f>VLOOKUP(BP147,Fundamentus!A:U,5,FALSE)</f>
        <v>7.8550000000000004</v>
      </c>
      <c r="EG147" s="2">
        <f t="shared" ca="1" si="165"/>
        <v>228400234.62762573</v>
      </c>
      <c r="EH147" s="17">
        <v>387618038.18654364</v>
      </c>
      <c r="EI147" s="17">
        <f t="shared" ca="1" si="166"/>
        <v>387618038.18654364</v>
      </c>
      <c r="EK147" s="16">
        <f t="shared" ca="1" si="153"/>
        <v>0</v>
      </c>
      <c r="EL147" s="32" t="str">
        <f>IF(VLOOKUP(BP147,Fundamentus!A:U,3,FALSE)&lt;15,"Bom",IF(VLOOKUP(BP147,Fundamentus!A:U,3,FALSE)&gt;15,"Ruim","n/a"))</f>
        <v>Bom</v>
      </c>
      <c r="EM147" s="28" t="str">
        <f>IF(VLOOKUP(BP147,Fundamentus!A:U,4,FALSE)&lt;1,"Baixo",IF(VLOOKUP(BP147,Fundamentus!A:U,4,FALSE)&lt;1.5,"Moderado",IF(VLOOKUP(BP147,Fundamentus!A:U,4,FALSE)&gt;1.5,"Alto","n/a")))</f>
        <v>Baixo</v>
      </c>
      <c r="EN147" s="17" t="str">
        <f>IF(VLOOKUP(BP147,Fundamentus!A:U,8,FALSE)&lt;0,"Risco elevado",IF(VLOOKUP(BP147,Fundamentus!A:U,8,FALSE)&lt;1,"Saudável",IF(VLOOKUP(BP147,Fundamentus!A:U,8,FALSE)&lt;3,"Estável",IF(VLOOKUP(BP147,Fundamentus!A:U,8,FALSE)&gt;3,"Alerta","n/a"))))</f>
        <v>Alerta</v>
      </c>
      <c r="EO147" s="28" t="str">
        <f t="shared" si="167"/>
        <v>Bom</v>
      </c>
      <c r="EP147" s="17" t="str">
        <f>IF(VLOOKUP(BP147,Fundamentus!A:U,12,FALSE)&lt;2,"Subvalorizada",IF(VLOOKUP(BP147,Fundamentus!A:U,12,FALSE)&lt;6,"Muita barata",IF(VLOOKUP(BP147,Fundamentus!A:U,12,FALSE)&lt;6,"Barata",IF(VLOOKUP(BP147,Fundamentus!A:U,12,FALSE)&lt;8,"Atrativa",IF(VLOOKUP(BP147,Fundamentus!A:U,12,FALSE)&gt;8,"Supervalorizada","n/a")))))</f>
        <v>Supervalorizada</v>
      </c>
      <c r="ER147" s="17" t="str">
        <f>IF(VLOOKUP(BP147,Fundamentus!A:U,17,FALSE)&lt;0.1,"Fraco retorno",IF(VLOOKUP(BP147,Fundamentus!A:U,17,FALSE)&gt;0.1,"Bom retorno","n/a"))</f>
        <v>Bom retorno</v>
      </c>
      <c r="ES147" s="17" t="str">
        <f>IF(VLOOKUP(BP147,Fundamentus!A:U,16,FALSE)&lt;0.1,"Ineficiente",IF(VLOOKUP(BP147,Fundamentus!A:U,16,FALSE)&gt;0.1,"Eficiente","n/a"))</f>
        <v>Ineficiente</v>
      </c>
      <c r="ET147" s="33" t="str">
        <f>IF(VLOOKUP(BP147,Fundamentus!A:U,16,FALSE)&lt;0.1,"Oper. Ineficiente",IF(VLOOKUP(BP147,Fundamentus!A:U,16,FALSE)&gt;0.1,"Oper.Eficiente","n/a"))</f>
        <v>Oper. Ineficiente</v>
      </c>
      <c r="EU147" s="34">
        <f>VLOOKUP(BP147,Fundamentus!A:U,14,FALSE)</f>
        <v>1.6971000000000001</v>
      </c>
      <c r="EV147" s="17" t="str">
        <f>IF(VLOOKUP(BP147,Fundamentus!A:U,21,FALSE)&lt;0,"Negativo",IF(VLOOKUP(BP147,Fundamentus!A:U,21,FALSE)&lt;0.05,"Fraco",IF(VLOOKUP(BP147,Fundamentus!A:U,21,FALSE)&lt;0.1,"Bom",IF(VLOOKUP(BP147,Fundamentus!A:U,21,FALSE)&gt;0.1,"Muito bom","n/a"))))</f>
        <v>Muito bom</v>
      </c>
      <c r="EX147" s="29" t="str">
        <f>IF(VLOOKUP(BP147,Fundamentus!A:U,15,FALSE)&gt;1,"Bom",IF(VLOOKUP(BP147,Fundamentus!A:U,15,FALSE)&lt;1,"Ruim","n/a"))</f>
        <v>Bom</v>
      </c>
      <c r="EY147" s="17" t="str">
        <f>IF(VLOOKUP(BP147,Fundamentus!A:U,20,FALSE)&lt;0.5,"Baixa",IF(VLOOKUP(BP147,Fundamentus!A:U,20,FALSE)&lt;1,"Moderada",IF(VLOOKUP(BP147,Fundamentus!A:U,20,FALSE)&lt;2,"Alerta",IF(VLOOKUP(BP147,Fundamentus!A:U,20,FALSE)&gt;2,"Alta","n/a"))))</f>
        <v>Moderada</v>
      </c>
      <c r="EZ147" s="10"/>
    </row>
    <row r="148" spans="1:156" s="2" customFormat="1" ht="11.25" x14ac:dyDescent="0.2">
      <c r="A148" s="4">
        <v>1.7</v>
      </c>
      <c r="B148" s="4">
        <v>1.66</v>
      </c>
      <c r="C148" s="4">
        <v>1.62</v>
      </c>
      <c r="D148" s="4">
        <v>1.65</v>
      </c>
      <c r="E148" s="4">
        <v>1.64</v>
      </c>
      <c r="F148" s="4">
        <v>1.67</v>
      </c>
      <c r="G148" s="4">
        <v>1.74</v>
      </c>
      <c r="H148" s="4">
        <v>1.39</v>
      </c>
      <c r="I148" s="4">
        <v>1.41</v>
      </c>
      <c r="J148" s="4">
        <v>1.77</v>
      </c>
      <c r="K148" s="4">
        <v>1.85</v>
      </c>
      <c r="L148" s="4">
        <v>1.62</v>
      </c>
      <c r="M148" s="4">
        <v>1.57</v>
      </c>
      <c r="N148" s="4">
        <v>1.53</v>
      </c>
      <c r="O148" s="4">
        <v>1.64</v>
      </c>
      <c r="P148" s="4">
        <v>1.59</v>
      </c>
      <c r="Q148" s="4">
        <v>1.98</v>
      </c>
      <c r="R148" s="4">
        <v>2.27</v>
      </c>
      <c r="S148" s="4">
        <v>2.14</v>
      </c>
      <c r="T148" s="4">
        <v>2.15</v>
      </c>
      <c r="U148" s="4">
        <v>1.87</v>
      </c>
      <c r="V148" s="4">
        <v>2.31</v>
      </c>
      <c r="W148" s="4">
        <v>2.0499999999999998</v>
      </c>
      <c r="X148" s="4">
        <v>2.21</v>
      </c>
      <c r="Y148" s="4">
        <v>2.14</v>
      </c>
      <c r="Z148" s="4">
        <v>2.13</v>
      </c>
      <c r="AA148" s="4">
        <v>2.31</v>
      </c>
      <c r="AB148" s="4">
        <v>2.2799999999999998</v>
      </c>
      <c r="AC148" s="4">
        <v>2.27</v>
      </c>
      <c r="AD148" s="4">
        <v>2.2999999999999998</v>
      </c>
      <c r="AE148" s="4">
        <v>2.15</v>
      </c>
      <c r="AF148" s="4">
        <v>2.2999999999999998</v>
      </c>
      <c r="AG148" s="4">
        <v>2.11</v>
      </c>
      <c r="AH148" s="4">
        <v>1.57</v>
      </c>
      <c r="AI148" s="4">
        <v>1.54</v>
      </c>
      <c r="AJ148" s="4">
        <v>1.5</v>
      </c>
      <c r="AK148" s="4">
        <v>1.5</v>
      </c>
      <c r="AL148" s="4">
        <v>1.6</v>
      </c>
      <c r="AM148" s="4">
        <v>1.68</v>
      </c>
      <c r="AN148" s="4">
        <v>1.94</v>
      </c>
      <c r="AO148" s="4">
        <v>1.76</v>
      </c>
      <c r="AP148" s="4">
        <v>1.97</v>
      </c>
      <c r="AQ148" s="4">
        <v>2.0299999999999998</v>
      </c>
      <c r="AR148" s="4">
        <v>1.78</v>
      </c>
      <c r="AS148" s="4">
        <v>1.87</v>
      </c>
      <c r="AT148" s="4">
        <v>1.74</v>
      </c>
      <c r="AU148" s="4">
        <v>1.8149999999999999</v>
      </c>
      <c r="AV148" s="4">
        <v>1.91</v>
      </c>
      <c r="AW148" s="4">
        <v>1.81</v>
      </c>
      <c r="AX148" s="4">
        <v>2.0099999999999998</v>
      </c>
      <c r="AY148" s="12">
        <v>2.1</v>
      </c>
      <c r="AZ148" s="12">
        <v>2.23</v>
      </c>
      <c r="BA148" s="12">
        <v>2.06</v>
      </c>
      <c r="BB148" s="15">
        <v>2.0699999999999998</v>
      </c>
      <c r="BC148" s="52">
        <v>2.2400000000000002</v>
      </c>
      <c r="BD148" s="52">
        <v>2.19</v>
      </c>
      <c r="BE148" s="52">
        <v>2.13</v>
      </c>
      <c r="BF148" s="52">
        <v>2.1</v>
      </c>
      <c r="BG148" s="67">
        <v>1.91</v>
      </c>
      <c r="BH148" s="52">
        <v>1.77</v>
      </c>
      <c r="BI148" s="52">
        <v>1.83</v>
      </c>
      <c r="BJ148" s="52">
        <v>1.85</v>
      </c>
      <c r="BK148" s="52">
        <v>1.77</v>
      </c>
      <c r="BL148" s="52">
        <v>1.67</v>
      </c>
      <c r="BM148" s="52">
        <v>1.66</v>
      </c>
      <c r="BN148" s="52">
        <v>1.64</v>
      </c>
      <c r="BO148" s="52" cm="1">
        <f t="array" aca="1" ref="BO148" ca="1">_FV(EC148,"Preço")</f>
        <v>1.64</v>
      </c>
      <c r="BP148" s="69" t="s">
        <v>144</v>
      </c>
      <c r="BQ148" s="36" cm="1">
        <f t="array" aca="1" ref="BQ148" ca="1">_FV(EC148,"Média de volume",TRUE)</f>
        <v>1567990</v>
      </c>
      <c r="BR148" s="36">
        <v>2963700</v>
      </c>
      <c r="BS148" s="36" cm="1">
        <f t="array" aca="1" ref="BS148" ca="1">_FV(EC148,"Volume")</f>
        <v>2963700</v>
      </c>
      <c r="BT148" s="24" cm="1">
        <f t="array" aca="1" ref="BT148" ca="1">_FV(EC148,"Beta")</f>
        <v>1.4719</v>
      </c>
      <c r="BU148" s="71" cm="1">
        <f t="array" aca="1" ref="BU148" ca="1">_FV(EC148,"Variação (%)",TRUE)</f>
        <v>6.1350000000000007E-3</v>
      </c>
      <c r="BW148" s="17" cm="1">
        <f t="array" aca="1" ref="BW148" ca="1">_FV(EC148,"Baixo")</f>
        <v>1.63</v>
      </c>
      <c r="BX148" s="17" cm="1">
        <f t="array" aca="1" ref="BX148" ca="1">_FV(EC148,"Alto")</f>
        <v>1.74</v>
      </c>
      <c r="BY148" s="24"/>
      <c r="BZ148" s="63">
        <f ca="1">SQRT(22.5*(BO148/VLOOKUP(BP148,Fundamentus!A:U,3,FALSE))*(BO148/VLOOKUP(BP148,Fundamentus!A:U,4,FALSE)))</f>
        <v>1.1397356506321414</v>
      </c>
      <c r="CB148" s="62">
        <f t="shared" ca="1" si="168"/>
        <v>0</v>
      </c>
      <c r="CC148" s="8"/>
      <c r="CD148" s="61">
        <f t="shared" si="169"/>
        <v>1.39</v>
      </c>
      <c r="CE148" s="61">
        <f t="shared" si="170"/>
        <v>2.31</v>
      </c>
      <c r="CF148" s="61">
        <f t="shared" si="171"/>
        <v>1.8828030303030299</v>
      </c>
      <c r="CG148" s="14"/>
      <c r="CH148" s="35">
        <f t="shared" si="154"/>
        <v>1.4253002817785623</v>
      </c>
      <c r="CI148" s="15">
        <f t="shared" si="172"/>
        <v>1.5849999999999795</v>
      </c>
      <c r="CJ148" s="35">
        <f t="shared" si="155"/>
        <v>1.7446997182213968</v>
      </c>
      <c r="CL148" s="14"/>
      <c r="CM148" s="17">
        <f t="shared" si="156"/>
        <v>0.32999999999999985</v>
      </c>
      <c r="CN148" s="17">
        <f t="shared" si="157"/>
        <v>0.85999999999999988</v>
      </c>
      <c r="CO148" s="17">
        <f t="shared" si="158"/>
        <v>1.25</v>
      </c>
      <c r="CP148" s="38">
        <f t="shared" si="173"/>
        <v>1.78</v>
      </c>
      <c r="CQ148" s="17">
        <f t="shared" si="159"/>
        <v>2.17</v>
      </c>
      <c r="CR148" s="17">
        <f t="shared" si="160"/>
        <v>2.7</v>
      </c>
      <c r="CS148" s="17">
        <f t="shared" si="161"/>
        <v>3.0900000000000003</v>
      </c>
      <c r="CT148" s="2" cm="1">
        <f t="array" aca="1" ref="CT148" ca="1">MAX(_xlfn._xlws.FILTER(CM148:CS148,CM148:CS148&lt;BO148))</f>
        <v>1.25</v>
      </c>
      <c r="CU148" s="2" cm="1">
        <f t="array" aca="1" ref="CU148" ca="1">MIN(_xlfn._xlws.FILTER($CM148:$CS148,$CM148:$CS148&gt;BO148))</f>
        <v>1.78</v>
      </c>
      <c r="CV148" s="16">
        <f t="shared" ca="1" si="175"/>
        <v>0.42399999999999993</v>
      </c>
      <c r="CW148" s="20">
        <f t="shared" ca="1" si="176"/>
        <v>-0.21199999999999997</v>
      </c>
      <c r="CX148" s="20">
        <f t="shared" ca="1" si="177"/>
        <v>-0.14133333333333331</v>
      </c>
      <c r="CY148" s="20">
        <f t="shared" ca="1" si="178"/>
        <v>-8.4799999999999986E-2</v>
      </c>
      <c r="CZ148" s="20">
        <f t="shared" ca="1" si="179"/>
        <v>-4.7111111111111104E-2</v>
      </c>
      <c r="DA148" s="20">
        <f t="shared" ca="1" si="180"/>
        <v>-2.4941176470588231E-2</v>
      </c>
      <c r="DB148" s="20">
        <f t="shared" ca="1" si="181"/>
        <v>-1.2848484848484847E-2</v>
      </c>
      <c r="DC148" s="20">
        <f t="shared" ca="1" si="182"/>
        <v>-6.5230769230769222E-3</v>
      </c>
      <c r="DD148" s="21">
        <f t="shared" ca="1" si="183"/>
        <v>6.5230769230769222E-3</v>
      </c>
      <c r="DE148" s="21">
        <f t="shared" ca="1" si="184"/>
        <v>1.2848484848484847E-2</v>
      </c>
      <c r="DF148" s="21">
        <f t="shared" ca="1" si="185"/>
        <v>2.4941176470588231E-2</v>
      </c>
      <c r="DG148" s="21">
        <f t="shared" ca="1" si="186"/>
        <v>4.7111111111111104E-2</v>
      </c>
      <c r="DH148" s="21">
        <f t="shared" ca="1" si="187"/>
        <v>8.4799999999999986E-2</v>
      </c>
      <c r="DI148" s="21">
        <f t="shared" ca="1" si="188"/>
        <v>0.14133333333333331</v>
      </c>
      <c r="DJ148" s="21">
        <f t="shared" ca="1" si="189"/>
        <v>0.21199999999999997</v>
      </c>
      <c r="DL148" s="16" cm="1">
        <f t="array" aca="1" ref="DL148" ca="1">MAX(_xlfn._xlws.FILTER(CW148:DJ148,CW148:DJ148&lt;BU148))</f>
        <v>-6.5230769230769222E-3</v>
      </c>
      <c r="DM148" s="16" cm="1">
        <f t="array" aca="1" ref="DM148" ca="1">MIN(_xlfn._xlws.FILTER(CW148:DJ148,CW148:DJ148&gt;BU148))</f>
        <v>6.5230769230769222E-3</v>
      </c>
      <c r="DN148" s="2" cm="1">
        <f t="array" aca="1" ref="DN148" ca="1">_FV(EC148,"Fechamento anterior",TRUE)</f>
        <v>1.63</v>
      </c>
      <c r="DO148" s="28">
        <f t="shared" ca="1" si="162"/>
        <v>0.9702511864799136</v>
      </c>
      <c r="DP148" s="15">
        <f t="shared" ca="1" si="190"/>
        <v>1.6193673846153844</v>
      </c>
      <c r="DQ148" s="15">
        <f t="shared" ca="1" si="191"/>
        <v>1.6406326153846154</v>
      </c>
      <c r="DR148" s="9"/>
      <c r="DS148" s="9"/>
      <c r="DT148" s="9"/>
      <c r="DU148" s="89">
        <v>1.1677684674442431E-2</v>
      </c>
      <c r="DV148" s="89">
        <f t="shared" ca="1" si="163"/>
        <v>1.3046153846153844E-2</v>
      </c>
      <c r="DW148" s="72">
        <f t="shared" ca="1" si="164"/>
        <v>0.34439634967774374</v>
      </c>
      <c r="DX148" s="37"/>
      <c r="DY148" s="35">
        <f t="shared" si="174"/>
        <v>7.984985911070859E-2</v>
      </c>
      <c r="DZ148" s="56"/>
      <c r="EA148" s="56"/>
      <c r="EC148" s="2" t="e" vm="148">
        <v>#VALUE!</v>
      </c>
      <c r="EE148" s="10" cm="1">
        <f t="array" aca="1" ref="EE148" ca="1">_FV(EC148,"Ações em circulação",TRUE)</f>
        <v>284014300</v>
      </c>
      <c r="EF148" s="18">
        <f>VLOOKUP(BP148,Fundamentus!A:U,5,FALSE)</f>
        <v>0.30599999999999999</v>
      </c>
      <c r="EG148" s="2">
        <f t="shared" ca="1" si="165"/>
        <v>1522168143.7908497</v>
      </c>
      <c r="EH148" s="17">
        <v>12177345.150326798</v>
      </c>
      <c r="EI148" s="17">
        <f t="shared" ca="1" si="166"/>
        <v>12177345.150326798</v>
      </c>
      <c r="EK148" s="16">
        <f t="shared" ca="1" si="153"/>
        <v>0</v>
      </c>
      <c r="EL148" s="32" t="str">
        <f>IF(VLOOKUP(BP148,Fundamentus!A:U,3,FALSE)&lt;15,"Bom",IF(VLOOKUP(BP148,Fundamentus!A:U,3,FALSE)&gt;15,"Ruim","n/a"))</f>
        <v>Ruim</v>
      </c>
      <c r="EM148" s="28" t="str">
        <f>IF(VLOOKUP(BP148,Fundamentus!A:U,4,FALSE)&lt;1,"Baixo",IF(VLOOKUP(BP148,Fundamentus!A:U,4,FALSE)&lt;1.5,"Moderado",IF(VLOOKUP(BP148,Fundamentus!A:U,4,FALSE)&gt;1.5,"Alto","n/a")))</f>
        <v>Baixo</v>
      </c>
      <c r="EN148" s="17" t="str">
        <f>IF(VLOOKUP(BP148,Fundamentus!A:U,8,FALSE)&lt;0,"Risco elevado",IF(VLOOKUP(BP148,Fundamentus!A:U,8,FALSE)&lt;1,"Saudável",IF(VLOOKUP(BP148,Fundamentus!A:U,8,FALSE)&lt;3,"Estável",IF(VLOOKUP(BP148,Fundamentus!A:U,8,FALSE)&gt;3,"Alerta","n/a"))))</f>
        <v>Alerta</v>
      </c>
      <c r="EO148" s="28" t="str">
        <f t="shared" si="167"/>
        <v>Ruim</v>
      </c>
      <c r="EP148" s="17" t="str">
        <f>IF(VLOOKUP(BP148,Fundamentus!A:U,12,FALSE)&lt;2,"Subvalorizada",IF(VLOOKUP(BP148,Fundamentus!A:U,12,FALSE)&lt;6,"Muita barata",IF(VLOOKUP(BP148,Fundamentus!A:U,12,FALSE)&lt;6,"Barata",IF(VLOOKUP(BP148,Fundamentus!A:U,12,FALSE)&lt;8,"Atrativa",IF(VLOOKUP(BP148,Fundamentus!A:U,12,FALSE)&gt;8,"Supervalorizada","n/a")))))</f>
        <v>Subvalorizada</v>
      </c>
      <c r="ER148" s="17" t="str">
        <f>IF(VLOOKUP(BP148,Fundamentus!A:U,17,FALSE)&lt;0.1,"Fraco retorno",IF(VLOOKUP(BP148,Fundamentus!A:U,17,FALSE)&gt;0.1,"Bom retorno","n/a"))</f>
        <v>Fraco retorno</v>
      </c>
      <c r="ES148" s="17" t="str">
        <f>IF(VLOOKUP(BP148,Fundamentus!A:U,16,FALSE)&lt;0.1,"Ineficiente",IF(VLOOKUP(BP148,Fundamentus!A:U,16,FALSE)&gt;0.1,"Eficiente","n/a"))</f>
        <v>Eficiente</v>
      </c>
      <c r="ET148" s="33" t="str">
        <f>IF(VLOOKUP(BP148,Fundamentus!A:U,16,FALSE)&lt;0.1,"Oper. Ineficiente",IF(VLOOKUP(BP148,Fundamentus!A:U,16,FALSE)&gt;0.1,"Oper.Eficiente","n/a"))</f>
        <v>Oper.Eficiente</v>
      </c>
      <c r="EU148" s="34">
        <f>VLOOKUP(BP148,Fundamentus!A:U,14,FALSE)</f>
        <v>8.0000000000000002E-3</v>
      </c>
      <c r="EV148" s="17" t="str">
        <f>IF(VLOOKUP(BP148,Fundamentus!A:U,21,FALSE)&lt;0,"Negativo",IF(VLOOKUP(BP148,Fundamentus!A:U,21,FALSE)&lt;0.05,"Fraco",IF(VLOOKUP(BP148,Fundamentus!A:U,21,FALSE)&lt;0.1,"Bom",IF(VLOOKUP(BP148,Fundamentus!A:U,21,FALSE)&gt;0.1,"Muito bom","n/a"))))</f>
        <v>Negativo</v>
      </c>
      <c r="EX148" s="29" t="str">
        <f>IF(VLOOKUP(BP148,Fundamentus!A:U,15,FALSE)&gt;1,"Bom",IF(VLOOKUP(BP148,Fundamentus!A:U,15,FALSE)&lt;1,"Ruim","n/a"))</f>
        <v>Bom</v>
      </c>
      <c r="EY148" s="17" t="str">
        <f>IF(VLOOKUP(BP148,Fundamentus!A:U,20,FALSE)&lt;0.5,"Baixa",IF(VLOOKUP(BP148,Fundamentus!A:U,20,FALSE)&lt;1,"Moderada",IF(VLOOKUP(BP148,Fundamentus!A:U,20,FALSE)&lt;2,"Alerta",IF(VLOOKUP(BP148,Fundamentus!A:U,20,FALSE)&gt;2,"Alta","n/a"))))</f>
        <v>Alerta</v>
      </c>
      <c r="EZ148" s="10"/>
    </row>
    <row r="149" spans="1:156" s="2" customFormat="1" ht="11.25" x14ac:dyDescent="0.2">
      <c r="A149" s="4">
        <v>11.51</v>
      </c>
      <c r="B149" s="4">
        <v>10.66</v>
      </c>
      <c r="C149" s="4">
        <v>10.94</v>
      </c>
      <c r="D149" s="4">
        <v>10.46</v>
      </c>
      <c r="E149" s="4">
        <v>10.68</v>
      </c>
      <c r="F149" s="4">
        <v>10.119999999999999</v>
      </c>
      <c r="G149" s="4">
        <v>9.74</v>
      </c>
      <c r="H149" s="4">
        <v>9.68</v>
      </c>
      <c r="I149" s="4">
        <v>9.67</v>
      </c>
      <c r="J149" s="4">
        <v>10.14</v>
      </c>
      <c r="K149" s="4">
        <v>10.24</v>
      </c>
      <c r="L149" s="4">
        <v>9.9</v>
      </c>
      <c r="M149" s="4">
        <v>10.23</v>
      </c>
      <c r="N149" s="4">
        <v>10.210000000000001</v>
      </c>
      <c r="O149" s="4">
        <v>10.78</v>
      </c>
      <c r="P149" s="4">
        <v>11.01</v>
      </c>
      <c r="Q149" s="4">
        <v>10.58</v>
      </c>
      <c r="R149" s="4">
        <v>10.07</v>
      </c>
      <c r="S149" s="4">
        <v>10.06</v>
      </c>
      <c r="T149" s="4">
        <v>10.31</v>
      </c>
      <c r="U149" s="4">
        <v>10.09</v>
      </c>
      <c r="V149" s="4">
        <v>10.16</v>
      </c>
      <c r="W149" s="4">
        <v>10.35</v>
      </c>
      <c r="X149" s="4">
        <v>10.15</v>
      </c>
      <c r="Y149" s="4">
        <v>9.8699999999999992</v>
      </c>
      <c r="Z149" s="4">
        <v>10.050000000000001</v>
      </c>
      <c r="AA149" s="4">
        <v>9.89</v>
      </c>
      <c r="AB149" s="4">
        <v>9.92</v>
      </c>
      <c r="AC149" s="4">
        <v>9.75</v>
      </c>
      <c r="AD149" s="4">
        <v>9.58</v>
      </c>
      <c r="AE149" s="4">
        <v>9.4600000000000009</v>
      </c>
      <c r="AF149" s="4">
        <v>9.4499999999999993</v>
      </c>
      <c r="AG149" s="4">
        <v>9.2100000000000009</v>
      </c>
      <c r="AH149" s="4">
        <v>8.7799999999999994</v>
      </c>
      <c r="AI149" s="4">
        <v>8.6999999999999993</v>
      </c>
      <c r="AJ149" s="4">
        <v>8.4700000000000006</v>
      </c>
      <c r="AK149" s="4">
        <v>8.64</v>
      </c>
      <c r="AL149" s="4">
        <v>8.23</v>
      </c>
      <c r="AM149" s="4">
        <v>8.23</v>
      </c>
      <c r="AN149" s="4">
        <v>8.3000000000000007</v>
      </c>
      <c r="AO149" s="4">
        <v>8.08</v>
      </c>
      <c r="AP149" s="4">
        <v>8.1999999999999993</v>
      </c>
      <c r="AQ149" s="4">
        <v>8.18</v>
      </c>
      <c r="AR149" s="4">
        <v>8.1999999999999993</v>
      </c>
      <c r="AS149" s="4">
        <v>8.1999999999999993</v>
      </c>
      <c r="AT149" s="4">
        <v>8.52</v>
      </c>
      <c r="AU149" s="4">
        <v>8.74</v>
      </c>
      <c r="AV149" s="4">
        <v>8.8699999999999992</v>
      </c>
      <c r="AW149" s="4">
        <v>8.8800000000000008</v>
      </c>
      <c r="AX149" s="4">
        <v>8.7200000000000006</v>
      </c>
      <c r="AY149" s="12">
        <v>8.9</v>
      </c>
      <c r="AZ149" s="12">
        <v>9.0399999999999991</v>
      </c>
      <c r="BA149" s="12">
        <v>9.18</v>
      </c>
      <c r="BB149" s="15">
        <v>9.1999999999999993</v>
      </c>
      <c r="BC149" s="52">
        <v>9</v>
      </c>
      <c r="BD149" s="52">
        <v>8.74</v>
      </c>
      <c r="BE149" s="52">
        <v>8.6999999999999993</v>
      </c>
      <c r="BF149" s="52">
        <v>8.4</v>
      </c>
      <c r="BG149" s="67">
        <v>8.18</v>
      </c>
      <c r="BH149" s="52">
        <v>8.9600000000000009</v>
      </c>
      <c r="BI149" s="52">
        <v>9.52</v>
      </c>
      <c r="BJ149" s="52">
        <v>9.5399999999999991</v>
      </c>
      <c r="BK149" s="52">
        <v>9.34</v>
      </c>
      <c r="BL149" s="52">
        <v>9.09</v>
      </c>
      <c r="BM149" s="52">
        <v>9.2799999999999994</v>
      </c>
      <c r="BN149" s="52">
        <v>9.1199999999999992</v>
      </c>
      <c r="BO149" s="52" cm="1">
        <f t="array" aca="1" ref="BO149" ca="1">_FV(EC149,"Preço")</f>
        <v>9.1199999999999992</v>
      </c>
      <c r="BP149" s="69" t="s">
        <v>145</v>
      </c>
      <c r="BQ149" s="36" cm="1">
        <f t="array" aca="1" ref="BQ149" ca="1">_FV(EC149,"Média de volume",TRUE)</f>
        <v>302160</v>
      </c>
      <c r="BR149" s="36">
        <v>463600</v>
      </c>
      <c r="BS149" s="36" cm="1">
        <f t="array" aca="1" ref="BS149" ca="1">_FV(EC149,"Volume")</f>
        <v>463600</v>
      </c>
      <c r="BT149" s="24" cm="1">
        <f t="array" aca="1" ref="BT149" ca="1">_FV(EC149,"Beta")</f>
        <v>1.1771</v>
      </c>
      <c r="BU149" s="71" cm="1">
        <f t="array" aca="1" ref="BU149" ca="1">_FV(EC149,"Variação (%)",TRUE)</f>
        <v>2.1979999999999999E-3</v>
      </c>
      <c r="BW149" s="17" cm="1">
        <f t="array" aca="1" ref="BW149" ca="1">_FV(EC149,"Baixo")</f>
        <v>9.1</v>
      </c>
      <c r="BX149" s="17" cm="1">
        <f t="array" aca="1" ref="BX149" ca="1">_FV(EC149,"Alto")</f>
        <v>9.44</v>
      </c>
      <c r="BY149" s="24"/>
      <c r="BZ149" s="63">
        <f ca="1">SQRT(22.5*(BO149/VLOOKUP(BP149,Fundamentus!A:U,3,FALSE))*(BO149/VLOOKUP(BP149,Fundamentus!A:U,4,FALSE)))</f>
        <v>10.802034924013203</v>
      </c>
      <c r="CB149" s="62">
        <f t="shared" ca="1" si="168"/>
        <v>0</v>
      </c>
      <c r="CC149" s="8"/>
      <c r="CD149" s="61">
        <f t="shared" si="169"/>
        <v>8.08</v>
      </c>
      <c r="CE149" s="61">
        <f t="shared" si="170"/>
        <v>11.51</v>
      </c>
      <c r="CF149" s="61">
        <f t="shared" si="171"/>
        <v>9.4401515151515145</v>
      </c>
      <c r="CG149" s="14"/>
      <c r="CH149" s="35">
        <f t="shared" si="154"/>
        <v>8.7641534103293139</v>
      </c>
      <c r="CI149" s="15">
        <f t="shared" si="172"/>
        <v>9.089999999999975</v>
      </c>
      <c r="CJ149" s="35">
        <f t="shared" si="155"/>
        <v>9.415846589670636</v>
      </c>
      <c r="CL149" s="14"/>
      <c r="CM149" s="17">
        <f t="shared" si="156"/>
        <v>4.2000000000000011</v>
      </c>
      <c r="CN149" s="17">
        <f t="shared" si="157"/>
        <v>6.1400000000000006</v>
      </c>
      <c r="CO149" s="17">
        <f t="shared" si="158"/>
        <v>7.6300000000000008</v>
      </c>
      <c r="CP149" s="38">
        <f t="shared" si="173"/>
        <v>9.57</v>
      </c>
      <c r="CQ149" s="17">
        <f t="shared" si="159"/>
        <v>11.06</v>
      </c>
      <c r="CR149" s="17">
        <f t="shared" si="160"/>
        <v>13</v>
      </c>
      <c r="CS149" s="17">
        <f t="shared" si="161"/>
        <v>14.49</v>
      </c>
      <c r="CT149" s="2" cm="1">
        <f t="array" aca="1" ref="CT149" ca="1">MAX(_xlfn._xlws.FILTER(CM149:CS149,CM149:CS149&lt;BO149))</f>
        <v>7.6300000000000008</v>
      </c>
      <c r="CU149" s="2" cm="1">
        <f t="array" aca="1" ref="CU149" ca="1">MIN(_xlfn._xlws.FILTER($CM149:$CS149,$CM149:$CS149&gt;BO149))</f>
        <v>9.57</v>
      </c>
      <c r="CV149" s="16">
        <f t="shared" ca="1" si="175"/>
        <v>0.25425950196592395</v>
      </c>
      <c r="CW149" s="20">
        <f t="shared" ca="1" si="176"/>
        <v>-0.12712975098296198</v>
      </c>
      <c r="CX149" s="20">
        <f t="shared" ca="1" si="177"/>
        <v>-8.4753167321974646E-2</v>
      </c>
      <c r="CY149" s="20">
        <f t="shared" ca="1" si="178"/>
        <v>-5.0851900393184789E-2</v>
      </c>
      <c r="CZ149" s="20">
        <f t="shared" ca="1" si="179"/>
        <v>-2.8251055773991549E-2</v>
      </c>
      <c r="DA149" s="20">
        <f t="shared" ca="1" si="180"/>
        <v>-1.4956441292113173E-2</v>
      </c>
      <c r="DB149" s="20">
        <f t="shared" ca="1" si="181"/>
        <v>-7.7048333929067864E-3</v>
      </c>
      <c r="DC149" s="20">
        <f t="shared" ca="1" si="182"/>
        <v>-3.9116846456295996E-3</v>
      </c>
      <c r="DD149" s="21">
        <f t="shared" ca="1" si="183"/>
        <v>3.9116846456295996E-3</v>
      </c>
      <c r="DE149" s="21">
        <f t="shared" ca="1" si="184"/>
        <v>7.7048333929067864E-3</v>
      </c>
      <c r="DF149" s="21">
        <f t="shared" ca="1" si="185"/>
        <v>1.4956441292113173E-2</v>
      </c>
      <c r="DG149" s="21">
        <f t="shared" ca="1" si="186"/>
        <v>2.8251055773991549E-2</v>
      </c>
      <c r="DH149" s="21">
        <f t="shared" ca="1" si="187"/>
        <v>5.0851900393184789E-2</v>
      </c>
      <c r="DI149" s="21">
        <f t="shared" ca="1" si="188"/>
        <v>8.4753167321974646E-2</v>
      </c>
      <c r="DJ149" s="21">
        <f t="shared" ca="1" si="189"/>
        <v>0.12712975098296198</v>
      </c>
      <c r="DL149" s="16" cm="1">
        <f t="array" aca="1" ref="DL149" ca="1">MAX(_xlfn._xlws.FILTER(CW149:DJ149,CW149:DJ149&lt;BU149))</f>
        <v>-3.9116846456295996E-3</v>
      </c>
      <c r="DM149" s="16" cm="1">
        <f t="array" aca="1" ref="DM149" ca="1">MIN(_xlfn._xlws.FILTER(CW149:DJ149,CW149:DJ149&gt;BU149))</f>
        <v>3.9116846456295996E-3</v>
      </c>
      <c r="DN149" s="2" cm="1">
        <f t="array" aca="1" ref="DN149" ca="1">_FV(EC149,"Fechamento anterior",TRUE)</f>
        <v>9.1</v>
      </c>
      <c r="DO149" s="28">
        <f t="shared" ca="1" si="162"/>
        <v>0.78092783505154051</v>
      </c>
      <c r="DP149" s="15">
        <f t="shared" ca="1" si="190"/>
        <v>9.0644036697247703</v>
      </c>
      <c r="DQ149" s="15">
        <f t="shared" ca="1" si="191"/>
        <v>9.135596330275229</v>
      </c>
      <c r="DR149" s="9"/>
      <c r="DS149" s="9"/>
      <c r="DT149" s="9"/>
      <c r="DU149" s="89">
        <v>7.8843626806833107E-3</v>
      </c>
      <c r="DV149" s="89">
        <f t="shared" ca="1" si="163"/>
        <v>7.8233692912591992E-3</v>
      </c>
      <c r="DW149" s="72">
        <f t="shared" ca="1" si="164"/>
        <v>9.20678655263686E-2</v>
      </c>
      <c r="DX149" s="37"/>
      <c r="DY149" s="35">
        <f t="shared" si="174"/>
        <v>0.1629232948353303</v>
      </c>
      <c r="DZ149" s="56"/>
      <c r="EA149" s="56"/>
      <c r="EC149" s="2" t="e" vm="149">
        <v>#VALUE!</v>
      </c>
      <c r="EE149" s="10" cm="1">
        <f t="array" aca="1" ref="EE149" ca="1">_FV(EC149,"Ações em circulação",TRUE)</f>
        <v>150377500</v>
      </c>
      <c r="EF149" s="18">
        <f>VLOOKUP(BP149,Fundamentus!A:U,5,FALSE)</f>
        <v>0.28100000000000003</v>
      </c>
      <c r="EG149" s="2">
        <f t="shared" ca="1" si="165"/>
        <v>4880579359.4306049</v>
      </c>
      <c r="EH149" s="17">
        <v>95659355.44483985</v>
      </c>
      <c r="EI149" s="17">
        <f t="shared" ca="1" si="166"/>
        <v>95659355.44483985</v>
      </c>
      <c r="EK149" s="16">
        <f t="shared" ca="1" si="153"/>
        <v>0</v>
      </c>
      <c r="EL149" s="32" t="str">
        <f>IF(VLOOKUP(BP149,Fundamentus!A:U,3,FALSE)&lt;15,"Bom",IF(VLOOKUP(BP149,Fundamentus!A:U,3,FALSE)&gt;15,"Ruim","n/a"))</f>
        <v>Bom</v>
      </c>
      <c r="EM149" s="28" t="str">
        <f>IF(VLOOKUP(BP149,Fundamentus!A:U,4,FALSE)&lt;1,"Baixo",IF(VLOOKUP(BP149,Fundamentus!A:U,4,FALSE)&lt;1.5,"Moderado",IF(VLOOKUP(BP149,Fundamentus!A:U,4,FALSE)&gt;1.5,"Alto","n/a")))</f>
        <v>Moderado</v>
      </c>
      <c r="EN149" s="17" t="str">
        <f>IF(VLOOKUP(BP149,Fundamentus!A:U,8,FALSE)&lt;0,"Risco elevado",IF(VLOOKUP(BP149,Fundamentus!A:U,8,FALSE)&lt;1,"Saudável",IF(VLOOKUP(BP149,Fundamentus!A:U,8,FALSE)&lt;3,"Estável",IF(VLOOKUP(BP149,Fundamentus!A:U,8,FALSE)&gt;3,"Alerta","n/a"))))</f>
        <v>Estável</v>
      </c>
      <c r="EO149" s="28" t="str">
        <f t="shared" si="167"/>
        <v>Ruim</v>
      </c>
      <c r="EP149" s="17" t="str">
        <f>IF(VLOOKUP(BP149,Fundamentus!A:U,12,FALSE)&lt;2,"Subvalorizada",IF(VLOOKUP(BP149,Fundamentus!A:U,12,FALSE)&lt;6,"Muita barata",IF(VLOOKUP(BP149,Fundamentus!A:U,12,FALSE)&lt;6,"Barata",IF(VLOOKUP(BP149,Fundamentus!A:U,12,FALSE)&lt;8,"Atrativa",IF(VLOOKUP(BP149,Fundamentus!A:U,12,FALSE)&gt;8,"Supervalorizada","n/a")))))</f>
        <v>Atrativa</v>
      </c>
      <c r="ER149" s="17" t="str">
        <f>IF(VLOOKUP(BP149,Fundamentus!A:U,17,FALSE)&lt;0.1,"Fraco retorno",IF(VLOOKUP(BP149,Fundamentus!A:U,17,FALSE)&gt;0.1,"Bom retorno","n/a"))</f>
        <v>Fraco retorno</v>
      </c>
      <c r="ES149" s="17" t="str">
        <f>IF(VLOOKUP(BP149,Fundamentus!A:U,16,FALSE)&lt;0.1,"Ineficiente",IF(VLOOKUP(BP149,Fundamentus!A:U,16,FALSE)&gt;0.1,"Eficiente","n/a"))</f>
        <v>Ineficiente</v>
      </c>
      <c r="ET149" s="33" t="str">
        <f>IF(VLOOKUP(BP149,Fundamentus!A:U,16,FALSE)&lt;0.1,"Oper. Ineficiente",IF(VLOOKUP(BP149,Fundamentus!A:U,16,FALSE)&gt;0.1,"Oper.Eficiente","n/a"))</f>
        <v>Oper. Ineficiente</v>
      </c>
      <c r="EU149" s="34">
        <f>VLOOKUP(BP149,Fundamentus!A:U,14,FALSE)</f>
        <v>1.9599999999999999E-2</v>
      </c>
      <c r="EV149" s="17" t="str">
        <f>IF(VLOOKUP(BP149,Fundamentus!A:U,21,FALSE)&lt;0,"Negativo",IF(VLOOKUP(BP149,Fundamentus!A:U,21,FALSE)&lt;0.05,"Fraco",IF(VLOOKUP(BP149,Fundamentus!A:U,21,FALSE)&lt;0.1,"Bom",IF(VLOOKUP(BP149,Fundamentus!A:U,21,FALSE)&gt;0.1,"Muito bom","n/a"))))</f>
        <v>Muito bom</v>
      </c>
      <c r="EX149" s="29" t="str">
        <f>IF(VLOOKUP(BP149,Fundamentus!A:U,15,FALSE)&gt;1,"Bom",IF(VLOOKUP(BP149,Fundamentus!A:U,15,FALSE)&lt;1,"Ruim","n/a"))</f>
        <v>Bom</v>
      </c>
      <c r="EY149" s="17" t="str">
        <f>IF(VLOOKUP(BP149,Fundamentus!A:U,20,FALSE)&lt;0.5,"Baixa",IF(VLOOKUP(BP149,Fundamentus!A:U,20,FALSE)&lt;1,"Moderada",IF(VLOOKUP(BP149,Fundamentus!A:U,20,FALSE)&lt;2,"Alerta",IF(VLOOKUP(BP149,Fundamentus!A:U,20,FALSE)&gt;2,"Alta","n/a"))))</f>
        <v>Moderada</v>
      </c>
      <c r="EZ149" s="10"/>
    </row>
    <row r="150" spans="1:156" s="2" customFormat="1" ht="11.25" x14ac:dyDescent="0.2">
      <c r="A150" s="4">
        <v>8</v>
      </c>
      <c r="B150" s="4">
        <v>7.88</v>
      </c>
      <c r="C150" s="4">
        <v>7</v>
      </c>
      <c r="D150" s="4">
        <v>7.1</v>
      </c>
      <c r="E150" s="4">
        <v>7.4</v>
      </c>
      <c r="F150" s="4">
        <v>9.07</v>
      </c>
      <c r="G150" s="4">
        <v>7.08</v>
      </c>
      <c r="H150" s="4">
        <v>7.3</v>
      </c>
      <c r="I150" s="4">
        <v>7.25</v>
      </c>
      <c r="J150" s="4">
        <v>7.83</v>
      </c>
      <c r="K150" s="4">
        <v>7.38</v>
      </c>
      <c r="L150" s="4">
        <v>7.34</v>
      </c>
      <c r="M150" s="4">
        <v>8.4</v>
      </c>
      <c r="N150" s="4">
        <v>7.94</v>
      </c>
      <c r="O150" s="4">
        <v>7.73</v>
      </c>
      <c r="P150" s="4">
        <v>7.76</v>
      </c>
      <c r="Q150" s="4">
        <v>7.27</v>
      </c>
      <c r="R150" s="4">
        <v>8.57</v>
      </c>
      <c r="S150" s="4">
        <v>8.6</v>
      </c>
      <c r="T150" s="4">
        <v>8.33</v>
      </c>
      <c r="U150" s="4">
        <v>7.94</v>
      </c>
      <c r="V150" s="4">
        <v>8.77</v>
      </c>
      <c r="W150" s="4">
        <v>9.5500000000000007</v>
      </c>
      <c r="X150" s="4">
        <v>9.5399999999999991</v>
      </c>
      <c r="Y150" s="4">
        <v>9.43</v>
      </c>
      <c r="Z150" s="4">
        <v>9.43</v>
      </c>
      <c r="AA150" s="4">
        <v>9.5500000000000007</v>
      </c>
      <c r="AB150" s="4">
        <v>9.77</v>
      </c>
      <c r="AC150" s="4">
        <v>9.84</v>
      </c>
      <c r="AD150" s="4">
        <v>9.7799999999999994</v>
      </c>
      <c r="AE150" s="4">
        <v>9.76</v>
      </c>
      <c r="AF150" s="4">
        <v>9.83</v>
      </c>
      <c r="AG150" s="4">
        <v>9.92</v>
      </c>
      <c r="AH150" s="4">
        <v>9.82</v>
      </c>
      <c r="AI150" s="4">
        <v>9.82</v>
      </c>
      <c r="AJ150" s="4">
        <v>9.8000000000000007</v>
      </c>
      <c r="AK150" s="4">
        <v>9.91</v>
      </c>
      <c r="AL150" s="4">
        <v>10.08</v>
      </c>
      <c r="AM150" s="4">
        <v>10.119999999999999</v>
      </c>
      <c r="AN150" s="4">
        <v>10.14</v>
      </c>
      <c r="AO150" s="4">
        <v>10.18</v>
      </c>
      <c r="AP150" s="4">
        <v>10.25</v>
      </c>
      <c r="AQ150" s="4">
        <v>10.36</v>
      </c>
      <c r="AR150" s="4">
        <v>10.38</v>
      </c>
      <c r="AS150" s="4">
        <v>10.4</v>
      </c>
      <c r="AT150" s="4">
        <v>10.41</v>
      </c>
      <c r="AU150" s="4">
        <v>10.445</v>
      </c>
      <c r="AV150" s="4">
        <v>10.47</v>
      </c>
      <c r="AW150" s="4">
        <v>10.51</v>
      </c>
      <c r="AX150" s="4">
        <v>10.51</v>
      </c>
      <c r="AY150" s="12">
        <v>10.51</v>
      </c>
      <c r="AZ150" s="12">
        <v>10.51</v>
      </c>
      <c r="BA150" s="12">
        <v>10.51</v>
      </c>
      <c r="BB150" s="15">
        <v>9.9600000000000009</v>
      </c>
      <c r="BC150" s="52">
        <v>10.59</v>
      </c>
      <c r="BD150" s="52">
        <v>10.61</v>
      </c>
      <c r="BE150" s="52">
        <v>10.74</v>
      </c>
      <c r="BF150" s="52">
        <v>10.74</v>
      </c>
      <c r="BG150" s="67">
        <v>10.77</v>
      </c>
      <c r="BH150" s="52">
        <v>10.8</v>
      </c>
      <c r="BI150" s="52">
        <v>11</v>
      </c>
      <c r="BJ150" s="52">
        <v>11.34</v>
      </c>
      <c r="BK150" s="52">
        <v>11.03</v>
      </c>
      <c r="BL150" s="52">
        <v>11.22</v>
      </c>
      <c r="BM150" s="52">
        <v>11.44</v>
      </c>
      <c r="BN150" s="52">
        <v>11.09</v>
      </c>
      <c r="BO150" s="52" cm="1">
        <f t="array" aca="1" ref="BO150" ca="1">_FV(EC150,"Preço")</f>
        <v>11.09</v>
      </c>
      <c r="BP150" s="69" t="s">
        <v>146</v>
      </c>
      <c r="BQ150" s="36" t="e" cm="1" vm="3">
        <f t="array" ref="BQ150">_FV(EC150,"Média de volume",TRUE)</f>
        <v>#VALUE!</v>
      </c>
      <c r="BR150" s="36">
        <v>5000</v>
      </c>
      <c r="BS150" s="36" cm="1">
        <f t="array" aca="1" ref="BS150" ca="1">_FV(EC150,"Volume")</f>
        <v>5000</v>
      </c>
      <c r="BT150" s="24" t="e" cm="1" vm="137">
        <f t="array" ref="BT150">_FV(EC150,"Beta")</f>
        <v>#VALUE!</v>
      </c>
      <c r="BU150" s="71" cm="1">
        <f t="array" aca="1" ref="BU150" ca="1">_FV(EC150,"Variação (%)",TRUE)</f>
        <v>-2.0750999999999999E-2</v>
      </c>
      <c r="BW150" s="17" cm="1">
        <f t="array" aca="1" ref="BW150" ca="1">_FV(EC150,"Baixo")</f>
        <v>11.09</v>
      </c>
      <c r="BX150" s="17" cm="1">
        <f t="array" aca="1" ref="BX150" ca="1">_FV(EC150,"Alto")</f>
        <v>11.09</v>
      </c>
      <c r="BY150" s="24"/>
      <c r="BZ150" s="63" t="e">
        <f ca="1">SQRT(22.5*(BO150/VLOOKUP(BP150,Fundamentus!A:U,3,FALSE))*(BO150/VLOOKUP(BP150,Fundamentus!A:U,4,FALSE)))</f>
        <v>#N/A</v>
      </c>
      <c r="CB150" s="62">
        <f t="shared" ca="1" si="168"/>
        <v>0</v>
      </c>
      <c r="CC150" s="8"/>
      <c r="CD150" s="61">
        <f t="shared" si="169"/>
        <v>7</v>
      </c>
      <c r="CE150" s="61">
        <f t="shared" si="170"/>
        <v>11.44</v>
      </c>
      <c r="CF150" s="61">
        <f t="shared" si="171"/>
        <v>9.4667424242424261</v>
      </c>
      <c r="CG150" s="14"/>
      <c r="CH150" s="35">
        <f t="shared" si="154"/>
        <v>10.990736955908231</v>
      </c>
      <c r="CI150" s="15">
        <f t="shared" si="172"/>
        <v>11.295000000000016</v>
      </c>
      <c r="CJ150" s="35">
        <f t="shared" si="155"/>
        <v>11.599263044091801</v>
      </c>
      <c r="CL150" s="14"/>
      <c r="CM150" s="17">
        <f t="shared" si="156"/>
        <v>3.8066666666666649</v>
      </c>
      <c r="CN150" s="17">
        <f t="shared" si="157"/>
        <v>5.4033333333333324</v>
      </c>
      <c r="CO150" s="17">
        <f t="shared" si="158"/>
        <v>8.2466666666666644</v>
      </c>
      <c r="CP150" s="38">
        <f t="shared" si="173"/>
        <v>9.8433333333333319</v>
      </c>
      <c r="CQ150" s="17">
        <f t="shared" si="159"/>
        <v>12.686666666666664</v>
      </c>
      <c r="CR150" s="17">
        <f t="shared" si="160"/>
        <v>14.283333333333331</v>
      </c>
      <c r="CS150" s="17">
        <f t="shared" si="161"/>
        <v>17.126666666666665</v>
      </c>
      <c r="CT150" s="2" cm="1">
        <f t="array" aca="1" ref="CT150" ca="1">MAX(_xlfn._xlws.FILTER(CM150:CS150,CM150:CS150&lt;BO150))</f>
        <v>9.8433333333333319</v>
      </c>
      <c r="CU150" s="2" cm="1">
        <f t="array" aca="1" ref="CU150" ca="1">MIN(_xlfn._xlws.FILTER($CM150:$CS150,$CM150:$CS150&gt;BO150))</f>
        <v>12.686666666666664</v>
      </c>
      <c r="CV150" s="16">
        <f t="shared" ca="1" si="175"/>
        <v>0.28885878767355222</v>
      </c>
      <c r="CW150" s="20">
        <f t="shared" ca="1" si="176"/>
        <v>-0.14442939383677611</v>
      </c>
      <c r="CX150" s="20">
        <f t="shared" ca="1" si="177"/>
        <v>-9.6286262557850735E-2</v>
      </c>
      <c r="CY150" s="20">
        <f t="shared" ca="1" si="178"/>
        <v>-5.7771757534710443E-2</v>
      </c>
      <c r="CZ150" s="20">
        <f t="shared" ca="1" si="179"/>
        <v>-3.2095420852616914E-2</v>
      </c>
      <c r="DA150" s="20">
        <f t="shared" ca="1" si="180"/>
        <v>-1.6991693392561895E-2</v>
      </c>
      <c r="DB150" s="20">
        <f t="shared" ca="1" si="181"/>
        <v>-8.7532965961682491E-3</v>
      </c>
      <c r="DC150" s="20">
        <f t="shared" ca="1" si="182"/>
        <v>-4.44398134882388E-3</v>
      </c>
      <c r="DD150" s="21">
        <f t="shared" ca="1" si="183"/>
        <v>4.44398134882388E-3</v>
      </c>
      <c r="DE150" s="21">
        <f t="shared" ca="1" si="184"/>
        <v>8.7532965961682491E-3</v>
      </c>
      <c r="DF150" s="21">
        <f t="shared" ca="1" si="185"/>
        <v>1.6991693392561895E-2</v>
      </c>
      <c r="DG150" s="21">
        <f t="shared" ca="1" si="186"/>
        <v>3.2095420852616914E-2</v>
      </c>
      <c r="DH150" s="21">
        <f t="shared" ca="1" si="187"/>
        <v>5.7771757534710443E-2</v>
      </c>
      <c r="DI150" s="21">
        <f t="shared" ca="1" si="188"/>
        <v>9.6286262557850735E-2</v>
      </c>
      <c r="DJ150" s="21">
        <f t="shared" ca="1" si="189"/>
        <v>0.14442939383677611</v>
      </c>
      <c r="DL150" s="16" cm="1">
        <f t="array" aca="1" ref="DL150" ca="1">MAX(_xlfn._xlws.FILTER(CW150:DJ150,CW150:DJ150&lt;BU150))</f>
        <v>-3.2095420852616914E-2</v>
      </c>
      <c r="DM150" s="16" cm="1">
        <f t="array" aca="1" ref="DM150" ca="1">MIN(_xlfn._xlws.FILTER(CW150:DJ150,CW150:DJ150&gt;BU150))</f>
        <v>-1.6991693392561895E-2</v>
      </c>
      <c r="DN150" s="2" cm="1">
        <f t="array" aca="1" ref="DN150" ca="1">_FV(EC150,"Fechamento anterior",TRUE)</f>
        <v>11.324999999999999</v>
      </c>
      <c r="DO150" s="28">
        <f t="shared" ca="1" si="162"/>
        <v>0.7511304084532211</v>
      </c>
      <c r="DP150" s="15">
        <f t="shared" ca="1" si="190"/>
        <v>10.961519358844113</v>
      </c>
      <c r="DQ150" s="15">
        <f t="shared" ca="1" si="191"/>
        <v>11.132569072329236</v>
      </c>
      <c r="DR150" s="9"/>
      <c r="DS150" s="9"/>
      <c r="DT150" s="9"/>
      <c r="DU150" s="89">
        <v>8.9838684579075651E-3</v>
      </c>
      <c r="DV150" s="89">
        <f t="shared" ca="1" si="163"/>
        <v>1.5103727460055019E-2</v>
      </c>
      <c r="DW150" s="72">
        <f t="shared" ca="1" si="164"/>
        <v>-0.67375911725308002</v>
      </c>
      <c r="DX150" s="37"/>
      <c r="DY150" s="35">
        <f t="shared" si="174"/>
        <v>0.15213152204589292</v>
      </c>
      <c r="DZ150" s="56"/>
      <c r="EA150" s="56"/>
      <c r="EC150" s="2" t="e" vm="150">
        <v>#VALUE!</v>
      </c>
      <c r="EE150" s="10" t="e" cm="1" vm="151">
        <f t="array" ref="EE150">_FV(EC150,"Ações em circulação",TRUE)</f>
        <v>#VALUE!</v>
      </c>
      <c r="EF150" s="18" t="e">
        <f>VLOOKUP(BP150,Fundamentus!A:U,5,FALSE)</f>
        <v>#N/A</v>
      </c>
      <c r="EG150" s="2" t="e" vm="152">
        <f t="shared" ca="1" si="165"/>
        <v>#VALUE!</v>
      </c>
      <c r="EH150" s="17" t="e" vm="152">
        <v>#VALUE!</v>
      </c>
      <c r="EI150" s="17" t="e" vm="152">
        <f t="shared" ca="1" si="166"/>
        <v>#VALUE!</v>
      </c>
      <c r="EK150" s="16" t="e" vm="152">
        <f t="shared" ca="1" si="153"/>
        <v>#VALUE!</v>
      </c>
      <c r="EL150" s="32" t="e">
        <f>IF(VLOOKUP(BP150,Fundamentus!A:U,3,FALSE)&lt;15,"Bom",IF(VLOOKUP(BP150,Fundamentus!A:U,3,FALSE)&gt;15,"Ruim","n/a"))</f>
        <v>#N/A</v>
      </c>
      <c r="EM150" s="28" t="e">
        <f>IF(VLOOKUP(BP150,Fundamentus!A:U,4,FALSE)&lt;1,"Baixo",IF(VLOOKUP(BP150,Fundamentus!A:U,4,FALSE)&lt;1.5,"Moderado",IF(VLOOKUP(BP150,Fundamentus!A:U,4,FALSE)&gt;1.5,"Alto","n/a")))</f>
        <v>#N/A</v>
      </c>
      <c r="EN150" s="17" t="e">
        <f>IF(VLOOKUP(BP150,Fundamentus!A:U,8,FALSE)&lt;0,"Risco elevado",IF(VLOOKUP(BP150,Fundamentus!A:U,8,FALSE)&lt;1,"Saudável",IF(VLOOKUP(BP150,Fundamentus!A:U,8,FALSE)&lt;3,"Estável",IF(VLOOKUP(BP150,Fundamentus!A:U,8,FALSE)&gt;3,"Alerta","n/a"))))</f>
        <v>#N/A</v>
      </c>
      <c r="EO150" s="28" t="e">
        <f t="shared" si="167"/>
        <v>#N/A</v>
      </c>
      <c r="EP150" s="17" t="e">
        <f>IF(VLOOKUP(BP150,Fundamentus!A:U,12,FALSE)&lt;2,"Subvalorizada",IF(VLOOKUP(BP150,Fundamentus!A:U,12,FALSE)&lt;6,"Muita barata",IF(VLOOKUP(BP150,Fundamentus!A:U,12,FALSE)&lt;6,"Barata",IF(VLOOKUP(BP150,Fundamentus!A:U,12,FALSE)&lt;8,"Atrativa",IF(VLOOKUP(BP150,Fundamentus!A:U,12,FALSE)&gt;8,"Supervalorizada","n/a")))))</f>
        <v>#N/A</v>
      </c>
      <c r="ER150" s="17" t="e">
        <f>IF(VLOOKUP(BP150,Fundamentus!A:U,17,FALSE)&lt;0.1,"Fraco retorno",IF(VLOOKUP(BP150,Fundamentus!A:U,17,FALSE)&gt;0.1,"Bom retorno","n/a"))</f>
        <v>#N/A</v>
      </c>
      <c r="ES150" s="17" t="e">
        <f>IF(VLOOKUP(BP150,Fundamentus!A:U,16,FALSE)&lt;0.1,"Ineficiente",IF(VLOOKUP(BP150,Fundamentus!A:U,16,FALSE)&gt;0.1,"Eficiente","n/a"))</f>
        <v>#N/A</v>
      </c>
      <c r="ET150" s="33" t="e">
        <f>IF(VLOOKUP(BP150,Fundamentus!A:U,16,FALSE)&lt;0.1,"Oper. Ineficiente",IF(VLOOKUP(BP150,Fundamentus!A:U,16,FALSE)&gt;0.1,"Oper.Eficiente","n/a"))</f>
        <v>#N/A</v>
      </c>
      <c r="EU150" s="34" t="e">
        <f>VLOOKUP(BP150,Fundamentus!A:U,14,FALSE)</f>
        <v>#N/A</v>
      </c>
      <c r="EV150" s="17" t="e">
        <f>IF(VLOOKUP(BP150,Fundamentus!A:U,21,FALSE)&lt;0,"Negativo",IF(VLOOKUP(BP150,Fundamentus!A:U,21,FALSE)&lt;0.05,"Fraco",IF(VLOOKUP(BP150,Fundamentus!A:U,21,FALSE)&lt;0.1,"Bom",IF(VLOOKUP(BP150,Fundamentus!A:U,21,FALSE)&gt;0.1,"Muito bom","n/a"))))</f>
        <v>#N/A</v>
      </c>
      <c r="EX150" s="29" t="e">
        <f>IF(VLOOKUP(BP150,Fundamentus!A:U,15,FALSE)&gt;1,"Bom",IF(VLOOKUP(BP150,Fundamentus!A:U,15,FALSE)&lt;1,"Ruim","n/a"))</f>
        <v>#N/A</v>
      </c>
      <c r="EY150" s="17" t="e">
        <f>IF(VLOOKUP(BP150,Fundamentus!A:U,20,FALSE)&lt;0.5,"Baixa",IF(VLOOKUP(BP150,Fundamentus!A:U,20,FALSE)&lt;1,"Moderada",IF(VLOOKUP(BP150,Fundamentus!A:U,20,FALSE)&lt;2,"Alerta",IF(VLOOKUP(BP150,Fundamentus!A:U,20,FALSE)&gt;2,"Alta","n/a"))))</f>
        <v>#N/A</v>
      </c>
      <c r="EZ150" s="10"/>
    </row>
    <row r="151" spans="1:156" s="2" customFormat="1" ht="11.25" x14ac:dyDescent="0.2">
      <c r="A151" s="4">
        <v>4.72</v>
      </c>
      <c r="B151" s="4">
        <v>4.3499999999999996</v>
      </c>
      <c r="C151" s="4">
        <v>4.2699999999999996</v>
      </c>
      <c r="D151" s="4">
        <v>4.2</v>
      </c>
      <c r="E151" s="4">
        <v>4.05</v>
      </c>
      <c r="F151" s="4">
        <v>3.98</v>
      </c>
      <c r="G151" s="4">
        <v>4.03</v>
      </c>
      <c r="H151" s="4">
        <v>4.17</v>
      </c>
      <c r="I151" s="4">
        <v>4.26</v>
      </c>
      <c r="J151" s="4">
        <v>4.2</v>
      </c>
      <c r="K151" s="4">
        <v>4.18</v>
      </c>
      <c r="L151" s="4">
        <v>4.28</v>
      </c>
      <c r="M151" s="4">
        <v>4.24</v>
      </c>
      <c r="N151" s="4">
        <v>4.37</v>
      </c>
      <c r="O151" s="4">
        <v>4.1900000000000004</v>
      </c>
      <c r="P151" s="4">
        <v>4.1900000000000004</v>
      </c>
      <c r="Q151" s="4">
        <v>4.4000000000000004</v>
      </c>
      <c r="R151" s="4">
        <v>4.3600000000000003</v>
      </c>
      <c r="S151" s="4">
        <v>4.3099999999999996</v>
      </c>
      <c r="T151" s="4">
        <v>4.3600000000000003</v>
      </c>
      <c r="U151" s="4">
        <v>4.17</v>
      </c>
      <c r="V151" s="4">
        <v>4.2</v>
      </c>
      <c r="W151" s="4">
        <v>4.2699999999999996</v>
      </c>
      <c r="X151" s="4">
        <v>4.03</v>
      </c>
      <c r="Y151" s="4">
        <v>4.1399999999999997</v>
      </c>
      <c r="Z151" s="4">
        <v>4.16</v>
      </c>
      <c r="AA151" s="4">
        <v>4.1900000000000004</v>
      </c>
      <c r="AB151" s="4">
        <v>4.13</v>
      </c>
      <c r="AC151" s="4">
        <v>4.1100000000000003</v>
      </c>
      <c r="AD151" s="4">
        <v>4.26</v>
      </c>
      <c r="AE151" s="4">
        <v>4.4000000000000004</v>
      </c>
      <c r="AF151" s="4">
        <v>4.57</v>
      </c>
      <c r="AG151" s="4">
        <v>4.59</v>
      </c>
      <c r="AH151" s="4">
        <v>4.5599999999999996</v>
      </c>
      <c r="AI151" s="4">
        <v>4.5999999999999996</v>
      </c>
      <c r="AJ151" s="4">
        <v>4.49</v>
      </c>
      <c r="AK151" s="4">
        <v>4.34</v>
      </c>
      <c r="AL151" s="4">
        <v>4.2699999999999996</v>
      </c>
      <c r="AM151" s="4">
        <v>4.34</v>
      </c>
      <c r="AN151" s="4">
        <v>4.41</v>
      </c>
      <c r="AO151" s="4">
        <v>4.1900000000000004</v>
      </c>
      <c r="AP151" s="4">
        <v>4.24</v>
      </c>
      <c r="AQ151" s="4">
        <v>4.1399999999999997</v>
      </c>
      <c r="AR151" s="4">
        <v>3.97</v>
      </c>
      <c r="AS151" s="4">
        <v>4</v>
      </c>
      <c r="AT151" s="4">
        <v>3.9</v>
      </c>
      <c r="AU151" s="4">
        <v>3.92</v>
      </c>
      <c r="AV151" s="4">
        <v>3.8</v>
      </c>
      <c r="AW151" s="4">
        <v>3.68</v>
      </c>
      <c r="AX151" s="4">
        <v>3.59</v>
      </c>
      <c r="AY151" s="12">
        <v>3.56</v>
      </c>
      <c r="AZ151" s="12">
        <v>3.71</v>
      </c>
      <c r="BA151" s="12">
        <v>3.68</v>
      </c>
      <c r="BB151" s="15">
        <v>3.94</v>
      </c>
      <c r="BC151" s="52">
        <v>3.91</v>
      </c>
      <c r="BD151" s="52">
        <v>3.83</v>
      </c>
      <c r="BE151" s="52">
        <v>3.67</v>
      </c>
      <c r="BF151" s="52">
        <v>3.64</v>
      </c>
      <c r="BG151" s="67">
        <v>3.64</v>
      </c>
      <c r="BH151" s="52">
        <v>3.5</v>
      </c>
      <c r="BI151" s="52">
        <v>3.58</v>
      </c>
      <c r="BJ151" s="52">
        <v>3.89</v>
      </c>
      <c r="BK151" s="52">
        <v>3.7</v>
      </c>
      <c r="BL151" s="52">
        <v>3.73</v>
      </c>
      <c r="BM151" s="52">
        <v>3.74</v>
      </c>
      <c r="BN151" s="52">
        <v>3.64</v>
      </c>
      <c r="BO151" s="52" cm="1">
        <f t="array" aca="1" ref="BO151" ca="1">_FV(EC151,"Preço")</f>
        <v>3.64</v>
      </c>
      <c r="BP151" s="69" t="s">
        <v>147</v>
      </c>
      <c r="BQ151" s="36" cm="1">
        <f t="array" aca="1" ref="BQ151" ca="1">_FV(EC151,"Média de volume",TRUE)</f>
        <v>1890770</v>
      </c>
      <c r="BR151" s="36">
        <v>2671200</v>
      </c>
      <c r="BS151" s="36" cm="1">
        <f t="array" aca="1" ref="BS151" ca="1">_FV(EC151,"Volume")</f>
        <v>2671200</v>
      </c>
      <c r="BT151" s="24" cm="1">
        <f t="array" aca="1" ref="BT151" ca="1">_FV(EC151,"Beta")</f>
        <v>0.41599999999999998</v>
      </c>
      <c r="BU151" s="71" cm="1">
        <f t="array" aca="1" ref="BU151" ca="1">_FV(EC151,"Variação (%)",TRUE)</f>
        <v>-1.0869999999999999E-2</v>
      </c>
      <c r="BW151" s="17" cm="1">
        <f t="array" aca="1" ref="BW151" ca="1">_FV(EC151,"Baixo")</f>
        <v>3.64</v>
      </c>
      <c r="BX151" s="17" cm="1">
        <f t="array" aca="1" ref="BX151" ca="1">_FV(EC151,"Alto")</f>
        <v>3.72</v>
      </c>
      <c r="BY151" s="24"/>
      <c r="BZ151" s="63">
        <f ca="1">SQRT(22.5*(BO151/VLOOKUP(BP151,Fundamentus!A:U,3,FALSE))*(BO151/VLOOKUP(BP151,Fundamentus!A:U,4,FALSE)))</f>
        <v>2.9809373793893812</v>
      </c>
      <c r="CB151" s="62">
        <f t="shared" ca="1" si="168"/>
        <v>0</v>
      </c>
      <c r="CC151" s="8"/>
      <c r="CD151" s="61">
        <f t="shared" si="169"/>
        <v>3.5</v>
      </c>
      <c r="CE151" s="61">
        <f t="shared" si="170"/>
        <v>4.72</v>
      </c>
      <c r="CF151" s="61">
        <f t="shared" si="171"/>
        <v>4.0928787878787887</v>
      </c>
      <c r="CG151" s="14"/>
      <c r="CH151" s="35">
        <f t="shared" si="154"/>
        <v>3.4945914149749138</v>
      </c>
      <c r="CI151" s="15">
        <f t="shared" si="172"/>
        <v>3.6599999999999966</v>
      </c>
      <c r="CJ151" s="35">
        <f t="shared" si="155"/>
        <v>3.8254085850250794</v>
      </c>
      <c r="CL151" s="14"/>
      <c r="CM151" s="17">
        <f t="shared" si="156"/>
        <v>1.9666666666666668</v>
      </c>
      <c r="CN151" s="17">
        <f t="shared" si="157"/>
        <v>2.7333333333333334</v>
      </c>
      <c r="CO151" s="17">
        <f t="shared" si="158"/>
        <v>3.1866666666666665</v>
      </c>
      <c r="CP151" s="38">
        <f t="shared" si="173"/>
        <v>3.9533333333333331</v>
      </c>
      <c r="CQ151" s="17">
        <f t="shared" si="159"/>
        <v>4.4066666666666663</v>
      </c>
      <c r="CR151" s="17">
        <f t="shared" si="160"/>
        <v>5.1733333333333329</v>
      </c>
      <c r="CS151" s="17">
        <f t="shared" si="161"/>
        <v>5.626666666666666</v>
      </c>
      <c r="CT151" s="2" cm="1">
        <f t="array" aca="1" ref="CT151" ca="1">MAX(_xlfn._xlws.FILTER(CM151:CS151,CM151:CS151&lt;BO151))</f>
        <v>3.1866666666666665</v>
      </c>
      <c r="CU151" s="2" cm="1">
        <f t="array" aca="1" ref="CU151" ca="1">MIN(_xlfn._xlws.FILTER($CM151:$CS151,$CM151:$CS151&gt;BO151))</f>
        <v>3.9533333333333331</v>
      </c>
      <c r="CV151" s="16">
        <f t="shared" ca="1" si="175"/>
        <v>0.24058577405857751</v>
      </c>
      <c r="CW151" s="20">
        <f t="shared" ca="1" si="176"/>
        <v>-0.12029288702928875</v>
      </c>
      <c r="CX151" s="20">
        <f t="shared" ca="1" si="177"/>
        <v>-8.0195258019525831E-2</v>
      </c>
      <c r="CY151" s="20">
        <f t="shared" ca="1" si="178"/>
        <v>-4.8117154811715503E-2</v>
      </c>
      <c r="CZ151" s="20">
        <f t="shared" ca="1" si="179"/>
        <v>-2.6731752673175277E-2</v>
      </c>
      <c r="DA151" s="20">
        <f t="shared" ca="1" si="180"/>
        <v>-1.4152104356386912E-2</v>
      </c>
      <c r="DB151" s="20">
        <f t="shared" ca="1" si="181"/>
        <v>-7.2904780017750762E-3</v>
      </c>
      <c r="DC151" s="20">
        <f t="shared" ca="1" si="182"/>
        <v>-3.7013196009011923E-3</v>
      </c>
      <c r="DD151" s="21">
        <f t="shared" ca="1" si="183"/>
        <v>3.7013196009011923E-3</v>
      </c>
      <c r="DE151" s="21">
        <f t="shared" ca="1" si="184"/>
        <v>7.2904780017750762E-3</v>
      </c>
      <c r="DF151" s="21">
        <f t="shared" ca="1" si="185"/>
        <v>1.4152104356386912E-2</v>
      </c>
      <c r="DG151" s="21">
        <f t="shared" ca="1" si="186"/>
        <v>2.6731752673175277E-2</v>
      </c>
      <c r="DH151" s="21">
        <f t="shared" ca="1" si="187"/>
        <v>4.8117154811715503E-2</v>
      </c>
      <c r="DI151" s="21">
        <f t="shared" ca="1" si="188"/>
        <v>8.0195258019525831E-2</v>
      </c>
      <c r="DJ151" s="21">
        <f t="shared" ca="1" si="189"/>
        <v>0.12029288702928875</v>
      </c>
      <c r="DL151" s="16" cm="1">
        <f t="array" aca="1" ref="DL151" ca="1">MAX(_xlfn._xlws.FILTER(CW151:DJ151,CW151:DJ151&lt;BU151))</f>
        <v>-1.4152104356386912E-2</v>
      </c>
      <c r="DM151" s="16" cm="1">
        <f t="array" aca="1" ref="DM151" ca="1">MIN(_xlfn._xlws.FILTER(CW151:DJ151,CW151:DJ151&gt;BU151))</f>
        <v>-7.2904780017750762E-3</v>
      </c>
      <c r="DN151" s="2" cm="1">
        <f t="array" aca="1" ref="DN151" ca="1">_FV(EC151,"Fechamento anterior",TRUE)</f>
        <v>3.68</v>
      </c>
      <c r="DO151" s="28">
        <f t="shared" ca="1" si="162"/>
        <v>0.47839083175803954</v>
      </c>
      <c r="DP151" s="15">
        <f t="shared" ca="1" si="190"/>
        <v>3.6279202559684962</v>
      </c>
      <c r="DQ151" s="15">
        <f t="shared" ca="1" si="191"/>
        <v>3.6531710409534677</v>
      </c>
      <c r="DR151" s="9"/>
      <c r="DS151" s="9"/>
      <c r="DT151" s="9"/>
      <c r="DU151" s="89">
        <v>6.4712836786758755E-3</v>
      </c>
      <c r="DV151" s="89">
        <f t="shared" ca="1" si="163"/>
        <v>6.8616263546118356E-3</v>
      </c>
      <c r="DW151" s="72">
        <f t="shared" ca="1" si="164"/>
        <v>-0.12091270835164712</v>
      </c>
      <c r="DX151" s="37"/>
      <c r="DY151" s="35">
        <f t="shared" si="174"/>
        <v>8.2704292512541328E-2</v>
      </c>
      <c r="DZ151" s="56"/>
      <c r="EA151" s="56"/>
      <c r="EC151" s="2" t="e" vm="153">
        <v>#VALUE!</v>
      </c>
      <c r="EE151" s="10" cm="1">
        <f t="array" aca="1" ref="EE151" ca="1">_FV(EC151,"Ações em circulação",TRUE)</f>
        <v>1235936000</v>
      </c>
      <c r="EF151" s="18">
        <f>VLOOKUP(BP151,Fundamentus!A:U,5,FALSE)</f>
        <v>1.139</v>
      </c>
      <c r="EG151" s="2">
        <f t="shared" ca="1" si="165"/>
        <v>3949786690.0790167</v>
      </c>
      <c r="EH151" s="17">
        <v>400113391.70500439</v>
      </c>
      <c r="EI151" s="17">
        <f t="shared" ca="1" si="166"/>
        <v>400113391.70500439</v>
      </c>
      <c r="EK151" s="16">
        <f t="shared" ca="1" si="153"/>
        <v>0</v>
      </c>
      <c r="EL151" s="32" t="str">
        <f>IF(VLOOKUP(BP151,Fundamentus!A:U,3,FALSE)&lt;15,"Bom",IF(VLOOKUP(BP151,Fundamentus!A:U,3,FALSE)&gt;15,"Ruim","n/a"))</f>
        <v>Bom</v>
      </c>
      <c r="EM151" s="28" t="str">
        <f>IF(VLOOKUP(BP151,Fundamentus!A:U,4,FALSE)&lt;1,"Baixo",IF(VLOOKUP(BP151,Fundamentus!A:U,4,FALSE)&lt;1.5,"Moderado",IF(VLOOKUP(BP151,Fundamentus!A:U,4,FALSE)&gt;1.5,"Alto","n/a")))</f>
        <v>Alto</v>
      </c>
      <c r="EN151" s="17" t="str">
        <f>IF(VLOOKUP(BP151,Fundamentus!A:U,8,FALSE)&lt;0,"Risco elevado",IF(VLOOKUP(BP151,Fundamentus!A:U,8,FALSE)&lt;1,"Saudável",IF(VLOOKUP(BP151,Fundamentus!A:U,8,FALSE)&lt;3,"Estável",IF(VLOOKUP(BP151,Fundamentus!A:U,8,FALSE)&gt;3,"Alerta","n/a"))))</f>
        <v>Alerta</v>
      </c>
      <c r="EO151" s="28" t="str">
        <f t="shared" si="167"/>
        <v>Bom</v>
      </c>
      <c r="EP151" s="17" t="str">
        <f>IF(VLOOKUP(BP151,Fundamentus!A:U,12,FALSE)&lt;2,"Subvalorizada",IF(VLOOKUP(BP151,Fundamentus!A:U,12,FALSE)&lt;6,"Muita barata",IF(VLOOKUP(BP151,Fundamentus!A:U,12,FALSE)&lt;6,"Barata",IF(VLOOKUP(BP151,Fundamentus!A:U,12,FALSE)&lt;8,"Atrativa",IF(VLOOKUP(BP151,Fundamentus!A:U,12,FALSE)&gt;8,"Supervalorizada","n/a")))))</f>
        <v>Muita barata</v>
      </c>
      <c r="ER151" s="17" t="str">
        <f>IF(VLOOKUP(BP151,Fundamentus!A:U,17,FALSE)&lt;0.1,"Fraco retorno",IF(VLOOKUP(BP151,Fundamentus!A:U,17,FALSE)&gt;0.1,"Bom retorno","n/a"))</f>
        <v>Bom retorno</v>
      </c>
      <c r="ES151" s="17" t="str">
        <f>IF(VLOOKUP(BP151,Fundamentus!A:U,16,FALSE)&lt;0.1,"Ineficiente",IF(VLOOKUP(BP151,Fundamentus!A:U,16,FALSE)&gt;0.1,"Eficiente","n/a"))</f>
        <v>Ineficiente</v>
      </c>
      <c r="ET151" s="33" t="str">
        <f>IF(VLOOKUP(BP151,Fundamentus!A:U,16,FALSE)&lt;0.1,"Oper. Ineficiente",IF(VLOOKUP(BP151,Fundamentus!A:U,16,FALSE)&gt;0.1,"Oper.Eficiente","n/a"))</f>
        <v>Oper. Ineficiente</v>
      </c>
      <c r="EU151" s="34">
        <f>VLOOKUP(BP151,Fundamentus!A:U,14,FALSE)</f>
        <v>0.1013</v>
      </c>
      <c r="EV151" s="17" t="str">
        <f>IF(VLOOKUP(BP151,Fundamentus!A:U,21,FALSE)&lt;0,"Negativo",IF(VLOOKUP(BP151,Fundamentus!A:U,21,FALSE)&lt;0.05,"Fraco",IF(VLOOKUP(BP151,Fundamentus!A:U,21,FALSE)&lt;0.1,"Bom",IF(VLOOKUP(BP151,Fundamentus!A:U,21,FALSE)&gt;0.1,"Muito bom","n/a"))))</f>
        <v>Bom</v>
      </c>
      <c r="EX151" s="29" t="str">
        <f>IF(VLOOKUP(BP151,Fundamentus!A:U,15,FALSE)&gt;1,"Bom",IF(VLOOKUP(BP151,Fundamentus!A:U,15,FALSE)&lt;1,"Ruim","n/a"))</f>
        <v>Bom</v>
      </c>
      <c r="EY151" s="17" t="str">
        <f>IF(VLOOKUP(BP151,Fundamentus!A:U,20,FALSE)&lt;0.5,"Baixa",IF(VLOOKUP(BP151,Fundamentus!A:U,20,FALSE)&lt;1,"Moderada",IF(VLOOKUP(BP151,Fundamentus!A:U,20,FALSE)&lt;2,"Alerta",IF(VLOOKUP(BP151,Fundamentus!A:U,20,FALSE)&gt;2,"Alta","n/a"))))</f>
        <v>Alta</v>
      </c>
      <c r="EZ151" s="10"/>
    </row>
    <row r="152" spans="1:156" s="2" customFormat="1" ht="11.25" x14ac:dyDescent="0.2">
      <c r="A152" s="4">
        <v>8.7200000000000006</v>
      </c>
      <c r="B152" s="4">
        <v>8.16</v>
      </c>
      <c r="C152" s="4">
        <v>8.7200000000000006</v>
      </c>
      <c r="D152" s="4">
        <v>7.9</v>
      </c>
      <c r="E152" s="4">
        <v>7.85</v>
      </c>
      <c r="F152" s="4">
        <v>8.3800000000000008</v>
      </c>
      <c r="G152" s="4">
        <v>7.76</v>
      </c>
      <c r="H152" s="4">
        <v>7.96</v>
      </c>
      <c r="I152" s="4">
        <v>7.75</v>
      </c>
      <c r="J152" s="4">
        <v>8.48</v>
      </c>
      <c r="K152" s="4">
        <v>8.48</v>
      </c>
      <c r="L152" s="4">
        <v>8.09</v>
      </c>
      <c r="M152" s="4">
        <v>8.31</v>
      </c>
      <c r="N152" s="4">
        <v>8.41</v>
      </c>
      <c r="O152" s="4">
        <v>8.9700000000000006</v>
      </c>
      <c r="P152" s="4">
        <v>9.44</v>
      </c>
      <c r="Q152" s="4">
        <v>9.73</v>
      </c>
      <c r="R152" s="4">
        <v>9.4600000000000009</v>
      </c>
      <c r="S152" s="4">
        <v>9.35</v>
      </c>
      <c r="T152" s="4">
        <v>9.24</v>
      </c>
      <c r="U152" s="4">
        <v>8.76</v>
      </c>
      <c r="V152" s="4">
        <v>8.98</v>
      </c>
      <c r="W152" s="4">
        <v>8.39</v>
      </c>
      <c r="X152" s="4">
        <v>8.4</v>
      </c>
      <c r="Y152" s="4">
        <v>8.58</v>
      </c>
      <c r="Z152" s="4">
        <v>8.51</v>
      </c>
      <c r="AA152" s="4">
        <v>8.49</v>
      </c>
      <c r="AB152" s="4">
        <v>8.67</v>
      </c>
      <c r="AC152" s="4">
        <v>8.6999999999999993</v>
      </c>
      <c r="AD152" s="4">
        <v>8.57</v>
      </c>
      <c r="AE152" s="4">
        <v>7.9</v>
      </c>
      <c r="AF152" s="4">
        <v>7.67</v>
      </c>
      <c r="AG152" s="4">
        <v>7.42</v>
      </c>
      <c r="AH152" s="4">
        <v>7.09</v>
      </c>
      <c r="AI152" s="4">
        <v>7.29</v>
      </c>
      <c r="AJ152" s="4">
        <v>7.1</v>
      </c>
      <c r="AK152" s="4">
        <v>6.95</v>
      </c>
      <c r="AL152" s="4">
        <v>7.18</v>
      </c>
      <c r="AM152" s="4">
        <v>7.29</v>
      </c>
      <c r="AN152" s="4">
        <v>8.0500000000000007</v>
      </c>
      <c r="AO152" s="4">
        <v>8.36</v>
      </c>
      <c r="AP152" s="4">
        <v>8.34</v>
      </c>
      <c r="AQ152" s="4">
        <v>8.11</v>
      </c>
      <c r="AR152" s="4">
        <v>7.56</v>
      </c>
      <c r="AS152" s="4">
        <v>7.81</v>
      </c>
      <c r="AT152" s="4">
        <v>8.31</v>
      </c>
      <c r="AU152" s="4">
        <v>8.5399999999999991</v>
      </c>
      <c r="AV152" s="4">
        <v>8.09</v>
      </c>
      <c r="AW152" s="4">
        <v>7.8</v>
      </c>
      <c r="AX152" s="4">
        <v>7.34</v>
      </c>
      <c r="AY152" s="12">
        <v>7.65</v>
      </c>
      <c r="AZ152" s="12">
        <v>8.25</v>
      </c>
      <c r="BA152" s="12">
        <v>8.39</v>
      </c>
      <c r="BB152" s="15">
        <v>8.99</v>
      </c>
      <c r="BC152" s="52">
        <v>8.77</v>
      </c>
      <c r="BD152" s="52">
        <v>8.8000000000000007</v>
      </c>
      <c r="BE152" s="52">
        <v>8.44</v>
      </c>
      <c r="BF152" s="52">
        <v>8.64</v>
      </c>
      <c r="BG152" s="67">
        <v>8.8000000000000007</v>
      </c>
      <c r="BH152" s="52">
        <v>9</v>
      </c>
      <c r="BI152" s="52">
        <v>9.39</v>
      </c>
      <c r="BJ152" s="52">
        <v>9.41</v>
      </c>
      <c r="BK152" s="52">
        <v>8.99</v>
      </c>
      <c r="BL152" s="52">
        <v>8.8699999999999992</v>
      </c>
      <c r="BM152" s="52">
        <v>8.66</v>
      </c>
      <c r="BN152" s="52">
        <v>8.8699999999999992</v>
      </c>
      <c r="BO152" s="52" cm="1">
        <f t="array" aca="1" ref="BO152" ca="1">_FV(EC152,"Preço")</f>
        <v>8.8699999999999992</v>
      </c>
      <c r="BP152" s="69" t="s">
        <v>148</v>
      </c>
      <c r="BQ152" s="36" cm="1">
        <f t="array" aca="1" ref="BQ152" ca="1">_FV(EC152,"Média de volume",TRUE)</f>
        <v>7644320</v>
      </c>
      <c r="BR152" s="36">
        <v>700</v>
      </c>
      <c r="BS152" s="36" cm="1">
        <f t="array" aca="1" ref="BS152" ca="1">_FV(EC152,"Volume")</f>
        <v>700</v>
      </c>
      <c r="BT152" s="24" cm="1">
        <f t="array" aca="1" ref="BT152" ca="1">_FV(EC152,"Beta")</f>
        <v>1.3745000000000001</v>
      </c>
      <c r="BU152" s="71" cm="1">
        <f t="array" aca="1" ref="BU152" ca="1">_FV(EC152,"Variação (%)",TRUE)</f>
        <v>1.8370000000000001E-2</v>
      </c>
      <c r="BW152" s="17" cm="1">
        <f t="array" aca="1" ref="BW152" ca="1">_FV(EC152,"Baixo")</f>
        <v>8.7799999999999994</v>
      </c>
      <c r="BX152" s="17" cm="1">
        <f t="array" aca="1" ref="BX152" ca="1">_FV(EC152,"Alto")</f>
        <v>8.92</v>
      </c>
      <c r="BY152" s="24"/>
      <c r="BZ152" s="63">
        <f ca="1">SQRT(22.5*(BO152/VLOOKUP(BP152,Fundamentus!A:U,3,FALSE))*(BO152/VLOOKUP(BP152,Fundamentus!A:U,4,FALSE)))</f>
        <v>11.049353500467053</v>
      </c>
      <c r="CB152" s="62">
        <f t="shared" ca="1" si="168"/>
        <v>0</v>
      </c>
      <c r="CC152" s="8"/>
      <c r="CD152" s="61">
        <f t="shared" si="169"/>
        <v>6.95</v>
      </c>
      <c r="CE152" s="61">
        <f t="shared" si="170"/>
        <v>9.73</v>
      </c>
      <c r="CF152" s="61">
        <f t="shared" si="171"/>
        <v>8.3534848484848485</v>
      </c>
      <c r="CG152" s="14"/>
      <c r="CH152" s="35">
        <f t="shared" si="154"/>
        <v>8.2073254075201749</v>
      </c>
      <c r="CI152" s="15">
        <f t="shared" si="172"/>
        <v>8.7050000000000409</v>
      </c>
      <c r="CJ152" s="35">
        <f t="shared" si="155"/>
        <v>9.2026745924799069</v>
      </c>
      <c r="CL152" s="14"/>
      <c r="CM152" s="17">
        <f t="shared" si="156"/>
        <v>4.5233333333333308</v>
      </c>
      <c r="CN152" s="17">
        <f t="shared" si="157"/>
        <v>5.7366666666666655</v>
      </c>
      <c r="CO152" s="17">
        <f t="shared" si="158"/>
        <v>7.303333333333331</v>
      </c>
      <c r="CP152" s="38">
        <f t="shared" si="173"/>
        <v>8.5166666666666657</v>
      </c>
      <c r="CQ152" s="17">
        <f t="shared" si="159"/>
        <v>10.083333333333332</v>
      </c>
      <c r="CR152" s="17">
        <f t="shared" si="160"/>
        <v>11.296666666666667</v>
      </c>
      <c r="CS152" s="17">
        <f t="shared" si="161"/>
        <v>12.863333333333332</v>
      </c>
      <c r="CT152" s="2" cm="1">
        <f t="array" aca="1" ref="CT152" ca="1">MAX(_xlfn._xlws.FILTER(CM152:CS152,CM152:CS152&lt;BO152))</f>
        <v>8.5166666666666657</v>
      </c>
      <c r="CU152" s="2" cm="1">
        <f t="array" aca="1" ref="CU152" ca="1">MIN(_xlfn._xlws.FILTER($CM152:$CS152,$CM152:$CS152&gt;BO152))</f>
        <v>10.083333333333332</v>
      </c>
      <c r="CV152" s="16">
        <f t="shared" ca="1" si="175"/>
        <v>0.18395303326810186</v>
      </c>
      <c r="CW152" s="20">
        <f t="shared" ca="1" si="176"/>
        <v>-9.1976516634050931E-2</v>
      </c>
      <c r="CX152" s="20">
        <f t="shared" ca="1" si="177"/>
        <v>-6.1317677756033952E-2</v>
      </c>
      <c r="CY152" s="20">
        <f t="shared" ca="1" si="178"/>
        <v>-3.679060665362037E-2</v>
      </c>
      <c r="CZ152" s="20">
        <f t="shared" ca="1" si="179"/>
        <v>-2.0439225918677986E-2</v>
      </c>
      <c r="DA152" s="20">
        <f t="shared" ca="1" si="180"/>
        <v>-1.0820766662829521E-2</v>
      </c>
      <c r="DB152" s="20">
        <f t="shared" ca="1" si="181"/>
        <v>-5.5743343414576324E-3</v>
      </c>
      <c r="DC152" s="20">
        <f t="shared" ca="1" si="182"/>
        <v>-2.8300466656631055E-3</v>
      </c>
      <c r="DD152" s="21">
        <f t="shared" ca="1" si="183"/>
        <v>2.8300466656631055E-3</v>
      </c>
      <c r="DE152" s="21">
        <f t="shared" ca="1" si="184"/>
        <v>5.5743343414576324E-3</v>
      </c>
      <c r="DF152" s="21">
        <f t="shared" ca="1" si="185"/>
        <v>1.0820766662829521E-2</v>
      </c>
      <c r="DG152" s="21">
        <f t="shared" ca="1" si="186"/>
        <v>2.0439225918677986E-2</v>
      </c>
      <c r="DH152" s="21">
        <f t="shared" ca="1" si="187"/>
        <v>3.679060665362037E-2</v>
      </c>
      <c r="DI152" s="21">
        <f t="shared" ca="1" si="188"/>
        <v>6.1317677756033952E-2</v>
      </c>
      <c r="DJ152" s="21">
        <f t="shared" ca="1" si="189"/>
        <v>9.1976516634050931E-2</v>
      </c>
      <c r="DL152" s="16" cm="1">
        <f t="array" aca="1" ref="DL152" ca="1">MAX(_xlfn._xlws.FILTER(CW152:DJ152,CW152:DJ152&lt;BU152))</f>
        <v>1.0820766662829521E-2</v>
      </c>
      <c r="DM152" s="16" cm="1">
        <f t="array" aca="1" ref="DM152" ca="1">MIN(_xlfn._xlws.FILTER(CW152:DJ152,CW152:DJ152&gt;BU152))</f>
        <v>2.0439225918677986E-2</v>
      </c>
      <c r="DN152" s="2" cm="1">
        <f t="array" aca="1" ref="DN152" ca="1">_FV(EC152,"Fechamento anterior",TRUE)</f>
        <v>8.7100000000000009</v>
      </c>
      <c r="DO152" s="28">
        <f t="shared" ca="1" si="162"/>
        <v>0.78483706671223996</v>
      </c>
      <c r="DP152" s="15">
        <f t="shared" ca="1" si="190"/>
        <v>8.8042488776332455</v>
      </c>
      <c r="DQ152" s="15">
        <f t="shared" ca="1" si="191"/>
        <v>8.8880256577516867</v>
      </c>
      <c r="DR152" s="9"/>
      <c r="DS152" s="9"/>
      <c r="DT152" s="9"/>
      <c r="DU152" s="89">
        <v>9.618459255848465E-3</v>
      </c>
      <c r="DV152" s="89">
        <f t="shared" ca="1" si="163"/>
        <v>9.618459255848465E-3</v>
      </c>
      <c r="DW152" s="72">
        <f t="shared" ca="1" si="164"/>
        <v>0.33154194024207406</v>
      </c>
      <c r="DX152" s="37"/>
      <c r="DY152" s="35">
        <f t="shared" si="174"/>
        <v>0.24883729623993281</v>
      </c>
      <c r="DZ152" s="56"/>
      <c r="EA152" s="56"/>
      <c r="EC152" s="2" t="e" vm="154">
        <v>#VALUE!</v>
      </c>
      <c r="EE152" s="10" cm="1">
        <f t="array" aca="1" ref="EE152" ca="1">_FV(EC152,"Ações em circulação",TRUE)</f>
        <v>10108690000</v>
      </c>
      <c r="EF152" s="18">
        <f>VLOOKUP(BP152,Fundamentus!A:U,5,FALSE)</f>
        <v>0</v>
      </c>
      <c r="EG152" s="2" t="e">
        <f t="shared" ca="1" si="165"/>
        <v>#DIV/0!</v>
      </c>
      <c r="EH152" s="17" t="e">
        <v>#DIV/0!</v>
      </c>
      <c r="EI152" s="17" t="e">
        <f t="shared" ca="1" si="166"/>
        <v>#DIV/0!</v>
      </c>
      <c r="EK152" s="16" t="e">
        <f t="shared" ca="1" si="153"/>
        <v>#DIV/0!</v>
      </c>
      <c r="EL152" s="32" t="str">
        <f>IF(VLOOKUP(BP152,Fundamentus!A:U,3,FALSE)&lt;15,"Bom",IF(VLOOKUP(BP152,Fundamentus!A:U,3,FALSE)&gt;15,"Ruim","n/a"))</f>
        <v>Bom</v>
      </c>
      <c r="EM152" s="28" t="str">
        <f>IF(VLOOKUP(BP152,Fundamentus!A:U,4,FALSE)&lt;1,"Baixo",IF(VLOOKUP(BP152,Fundamentus!A:U,4,FALSE)&lt;1.5,"Moderado",IF(VLOOKUP(BP152,Fundamentus!A:U,4,FALSE)&gt;1.5,"Alto","n/a")))</f>
        <v>Alto</v>
      </c>
      <c r="EN152" s="17" t="str">
        <f>IF(VLOOKUP(BP152,Fundamentus!A:U,8,FALSE)&lt;0,"Risco elevado",IF(VLOOKUP(BP152,Fundamentus!A:U,8,FALSE)&lt;1,"Saudável",IF(VLOOKUP(BP152,Fundamentus!A:U,8,FALSE)&lt;3,"Estável",IF(VLOOKUP(BP152,Fundamentus!A:U,8,FALSE)&gt;3,"Alerta","n/a"))))</f>
        <v>Saudável</v>
      </c>
      <c r="EO152" s="28" t="str">
        <f t="shared" si="167"/>
        <v>Ruim</v>
      </c>
      <c r="EP152" s="17" t="str">
        <f>IF(VLOOKUP(BP152,Fundamentus!A:U,12,FALSE)&lt;2,"Subvalorizada",IF(VLOOKUP(BP152,Fundamentus!A:U,12,FALSE)&lt;6,"Muita barata",IF(VLOOKUP(BP152,Fundamentus!A:U,12,FALSE)&lt;6,"Barata",IF(VLOOKUP(BP152,Fundamentus!A:U,12,FALSE)&lt;8,"Atrativa",IF(VLOOKUP(BP152,Fundamentus!A:U,12,FALSE)&gt;8,"Supervalorizada","n/a")))))</f>
        <v>Subvalorizada</v>
      </c>
      <c r="ER152" s="17" t="str">
        <f>IF(VLOOKUP(BP152,Fundamentus!A:U,17,FALSE)&lt;0.1,"Fraco retorno",IF(VLOOKUP(BP152,Fundamentus!A:U,17,FALSE)&gt;0.1,"Bom retorno","n/a"))</f>
        <v>Bom retorno</v>
      </c>
      <c r="ES152" s="17" t="str">
        <f>IF(VLOOKUP(BP152,Fundamentus!A:U,16,FALSE)&lt;0.1,"Ineficiente",IF(VLOOKUP(BP152,Fundamentus!A:U,16,FALSE)&gt;0.1,"Eficiente","n/a"))</f>
        <v>Ineficiente</v>
      </c>
      <c r="ET152" s="33" t="str">
        <f>IF(VLOOKUP(BP152,Fundamentus!A:U,16,FALSE)&lt;0.1,"Oper. Ineficiente",IF(VLOOKUP(BP152,Fundamentus!A:U,16,FALSE)&gt;0.1,"Oper.Eficiente","n/a"))</f>
        <v>Oper. Ineficiente</v>
      </c>
      <c r="EU152" s="34">
        <f>VLOOKUP(BP152,Fundamentus!A:U,14,FALSE)</f>
        <v>0</v>
      </c>
      <c r="EV152" s="17" t="str">
        <f>IF(VLOOKUP(BP152,Fundamentus!A:U,21,FALSE)&lt;0,"Negativo",IF(VLOOKUP(BP152,Fundamentus!A:U,21,FALSE)&lt;0.05,"Fraco",IF(VLOOKUP(BP152,Fundamentus!A:U,21,FALSE)&lt;0.1,"Bom",IF(VLOOKUP(BP152,Fundamentus!A:U,21,FALSE)&gt;0.1,"Muito bom","n/a"))))</f>
        <v>Muito bom</v>
      </c>
      <c r="EX152" s="29" t="str">
        <f>IF(VLOOKUP(BP152,Fundamentus!A:U,15,FALSE)&gt;1,"Bom",IF(VLOOKUP(BP152,Fundamentus!A:U,15,FALSE)&lt;1,"Ruim","n/a"))</f>
        <v>Ruim</v>
      </c>
      <c r="EY152" s="17" t="str">
        <f>IF(VLOOKUP(BP152,Fundamentus!A:U,20,FALSE)&lt;0.5,"Baixa",IF(VLOOKUP(BP152,Fundamentus!A:U,20,FALSE)&lt;1,"Moderada",IF(VLOOKUP(BP152,Fundamentus!A:U,20,FALSE)&lt;2,"Alerta",IF(VLOOKUP(BP152,Fundamentus!A:U,20,FALSE)&gt;2,"Alta","n/a"))))</f>
        <v>Baixa</v>
      </c>
      <c r="EZ152" s="10"/>
    </row>
    <row r="153" spans="1:156" s="2" customFormat="1" ht="11.25" x14ac:dyDescent="0.2">
      <c r="A153" s="4">
        <v>24.7</v>
      </c>
      <c r="B153" s="4">
        <v>24.65</v>
      </c>
      <c r="C153" s="4">
        <v>25.8</v>
      </c>
      <c r="D153" s="4">
        <v>25.16</v>
      </c>
      <c r="E153" s="4">
        <v>24.69</v>
      </c>
      <c r="F153" s="4">
        <v>26.24</v>
      </c>
      <c r="G153" s="4">
        <v>25.27</v>
      </c>
      <c r="H153" s="4">
        <v>25.26</v>
      </c>
      <c r="I153" s="4">
        <v>26.59</v>
      </c>
      <c r="J153" s="4">
        <v>26.79</v>
      </c>
      <c r="K153" s="4">
        <v>27.77</v>
      </c>
      <c r="L153" s="4">
        <v>28.41</v>
      </c>
      <c r="M153" s="4">
        <v>28.3</v>
      </c>
      <c r="N153" s="4">
        <v>27.24</v>
      </c>
      <c r="O153" s="4">
        <v>28.87</v>
      </c>
      <c r="P153" s="4">
        <v>29.1</v>
      </c>
      <c r="Q153" s="4">
        <v>29</v>
      </c>
      <c r="R153" s="4">
        <v>28.93</v>
      </c>
      <c r="S153" s="4">
        <v>31</v>
      </c>
      <c r="T153" s="4">
        <v>33.46</v>
      </c>
      <c r="U153" s="4">
        <v>31.87</v>
      </c>
      <c r="V153" s="4">
        <v>30.65</v>
      </c>
      <c r="W153" s="4">
        <v>30.05</v>
      </c>
      <c r="X153" s="4">
        <v>29.05</v>
      </c>
      <c r="Y153" s="4">
        <v>29.92</v>
      </c>
      <c r="Z153" s="4">
        <v>30.71</v>
      </c>
      <c r="AA153" s="4">
        <v>30.65</v>
      </c>
      <c r="AB153" s="4">
        <v>30.48</v>
      </c>
      <c r="AC153" s="4">
        <v>30</v>
      </c>
      <c r="AD153" s="4">
        <v>31.54</v>
      </c>
      <c r="AE153" s="4">
        <v>28.95</v>
      </c>
      <c r="AF153" s="4">
        <v>29.81</v>
      </c>
      <c r="AG153" s="4">
        <v>28.21</v>
      </c>
      <c r="AH153" s="4">
        <v>27.24</v>
      </c>
      <c r="AI153" s="4">
        <v>26.88</v>
      </c>
      <c r="AJ153" s="4">
        <v>26.56</v>
      </c>
      <c r="AK153" s="4">
        <v>24.15</v>
      </c>
      <c r="AL153" s="4">
        <v>25.31</v>
      </c>
      <c r="AM153" s="4">
        <v>26.76</v>
      </c>
      <c r="AN153" s="4">
        <v>28.78</v>
      </c>
      <c r="AO153" s="4">
        <v>29.73</v>
      </c>
      <c r="AP153" s="4">
        <v>31.16</v>
      </c>
      <c r="AQ153" s="4">
        <v>32.4</v>
      </c>
      <c r="AR153" s="4">
        <v>29.35</v>
      </c>
      <c r="AS153" s="4">
        <v>30.42</v>
      </c>
      <c r="AT153" s="4">
        <v>30</v>
      </c>
      <c r="AU153" s="4">
        <v>31.6</v>
      </c>
      <c r="AV153" s="4">
        <v>31.8</v>
      </c>
      <c r="AW153" s="4">
        <v>32.4</v>
      </c>
      <c r="AX153" s="4">
        <v>32.299999999999997</v>
      </c>
      <c r="AY153" s="12">
        <v>34.32</v>
      </c>
      <c r="AZ153" s="12">
        <v>35.869999999999997</v>
      </c>
      <c r="BA153" s="12">
        <v>36.35</v>
      </c>
      <c r="BB153" s="15">
        <v>37.97</v>
      </c>
      <c r="BC153" s="52">
        <v>38.15</v>
      </c>
      <c r="BD153" s="52">
        <v>39.479999999999997</v>
      </c>
      <c r="BE153" s="52">
        <v>40.659999999999997</v>
      </c>
      <c r="BF153" s="52">
        <v>40.71</v>
      </c>
      <c r="BG153" s="67">
        <v>39.46</v>
      </c>
      <c r="BH153" s="52">
        <v>42.15</v>
      </c>
      <c r="BI153" s="52">
        <v>42.44</v>
      </c>
      <c r="BJ153" s="52">
        <v>41.09</v>
      </c>
      <c r="BK153" s="52">
        <v>39.590000000000003</v>
      </c>
      <c r="BL153" s="52">
        <v>40.26</v>
      </c>
      <c r="BM153" s="52">
        <v>38.299999999999997</v>
      </c>
      <c r="BN153" s="52">
        <v>39.22</v>
      </c>
      <c r="BO153" s="52" cm="1">
        <f t="array" aca="1" ref="BO153" ca="1">_FV(EC153,"Preço")</f>
        <v>39.22</v>
      </c>
      <c r="BP153" s="69" t="s">
        <v>120</v>
      </c>
      <c r="BQ153" s="36" cm="1">
        <f t="array" aca="1" ref="BQ153" ca="1">_FV(EC153,"Média de volume",TRUE)</f>
        <v>1565000</v>
      </c>
      <c r="BR153" s="36">
        <v>2052700</v>
      </c>
      <c r="BS153" s="36" cm="1">
        <f t="array" aca="1" ref="BS153" ca="1">_FV(EC153,"Volume")</f>
        <v>2052700</v>
      </c>
      <c r="BT153" s="24" cm="1">
        <f t="array" aca="1" ref="BT153" ca="1">_FV(EC153,"Beta")</f>
        <v>1.032</v>
      </c>
      <c r="BU153" s="71" cm="1">
        <f t="array" aca="1" ref="BU153" ca="1">_FV(EC153,"Variação (%)",TRUE)</f>
        <v>5.8989999999999997E-3</v>
      </c>
      <c r="BW153" s="17" cm="1">
        <f t="array" aca="1" ref="BW153" ca="1">_FV(EC153,"Baixo")</f>
        <v>39.15</v>
      </c>
      <c r="BX153" s="17" cm="1">
        <f t="array" aca="1" ref="BX153" ca="1">_FV(EC153,"Alto")</f>
        <v>40.44</v>
      </c>
      <c r="BY153" s="24"/>
      <c r="BZ153" s="63">
        <f ca="1">SQRT(22.5*(BO153/VLOOKUP(BP153,Fundamentus!A:U,3,FALSE))*(BO153/VLOOKUP(BP153,Fundamentus!A:U,4,FALSE)))</f>
        <v>32.34811079659589</v>
      </c>
      <c r="CB153" s="62">
        <f t="shared" ca="1" si="168"/>
        <v>0</v>
      </c>
      <c r="CC153" s="8"/>
      <c r="CD153" s="61">
        <f t="shared" si="169"/>
        <v>24.15</v>
      </c>
      <c r="CE153" s="61">
        <f t="shared" si="170"/>
        <v>42.44</v>
      </c>
      <c r="CF153" s="61">
        <f t="shared" si="171"/>
        <v>31.242121212121205</v>
      </c>
      <c r="CG153" s="14"/>
      <c r="CH153" s="35">
        <f t="shared" si="154"/>
        <v>36.688653266231299</v>
      </c>
      <c r="CI153" s="15">
        <f t="shared" si="172"/>
        <v>38.575000000000045</v>
      </c>
      <c r="CJ153" s="35">
        <f t="shared" si="155"/>
        <v>40.461346733768792</v>
      </c>
      <c r="CL153" s="14"/>
      <c r="CM153" s="17">
        <f t="shared" si="156"/>
        <v>9.8100000000000094</v>
      </c>
      <c r="CN153" s="17">
        <f t="shared" si="157"/>
        <v>16.980000000000004</v>
      </c>
      <c r="CO153" s="17">
        <f t="shared" si="158"/>
        <v>28.100000000000009</v>
      </c>
      <c r="CP153" s="38">
        <f t="shared" si="173"/>
        <v>35.270000000000003</v>
      </c>
      <c r="CQ153" s="17">
        <f t="shared" si="159"/>
        <v>46.390000000000008</v>
      </c>
      <c r="CR153" s="17">
        <f t="shared" si="160"/>
        <v>53.56</v>
      </c>
      <c r="CS153" s="17">
        <f t="shared" si="161"/>
        <v>64.680000000000007</v>
      </c>
      <c r="CT153" s="2" cm="1">
        <f t="array" aca="1" ref="CT153" ca="1">MAX(_xlfn._xlws.FILTER(CM153:CS153,CM153:CS153&lt;BO153))</f>
        <v>35.270000000000003</v>
      </c>
      <c r="CU153" s="2" cm="1">
        <f t="array" aca="1" ref="CU153" ca="1">MIN(_xlfn._xlws.FILTER($CM153:$CS153,$CM153:$CS153&gt;BO153))</f>
        <v>46.390000000000008</v>
      </c>
      <c r="CV153" s="16">
        <f t="shared" ca="1" si="175"/>
        <v>0.31528210944145174</v>
      </c>
      <c r="CW153" s="20">
        <f t="shared" ca="1" si="176"/>
        <v>-0.15764105472072587</v>
      </c>
      <c r="CX153" s="20">
        <f t="shared" ca="1" si="177"/>
        <v>-0.10509403648048392</v>
      </c>
      <c r="CY153" s="20">
        <f t="shared" ca="1" si="178"/>
        <v>-6.3056421888290345E-2</v>
      </c>
      <c r="CZ153" s="20">
        <f t="shared" ca="1" si="179"/>
        <v>-3.5031345493494639E-2</v>
      </c>
      <c r="DA153" s="20">
        <f t="shared" ca="1" si="180"/>
        <v>-1.8546006437732455E-2</v>
      </c>
      <c r="DB153" s="20">
        <f t="shared" ca="1" si="181"/>
        <v>-9.5540033164076277E-3</v>
      </c>
      <c r="DC153" s="20">
        <f t="shared" ca="1" si="182"/>
        <v>-4.8504939914069496E-3</v>
      </c>
      <c r="DD153" s="21">
        <f t="shared" ca="1" si="183"/>
        <v>4.8504939914069496E-3</v>
      </c>
      <c r="DE153" s="21">
        <f t="shared" ca="1" si="184"/>
        <v>9.5540033164076277E-3</v>
      </c>
      <c r="DF153" s="21">
        <f t="shared" ca="1" si="185"/>
        <v>1.8546006437732455E-2</v>
      </c>
      <c r="DG153" s="21">
        <f t="shared" ca="1" si="186"/>
        <v>3.5031345493494639E-2</v>
      </c>
      <c r="DH153" s="21">
        <f t="shared" ca="1" si="187"/>
        <v>6.3056421888290345E-2</v>
      </c>
      <c r="DI153" s="21">
        <f t="shared" ca="1" si="188"/>
        <v>0.10509403648048392</v>
      </c>
      <c r="DJ153" s="21">
        <f t="shared" ca="1" si="189"/>
        <v>0.15764105472072587</v>
      </c>
      <c r="DL153" s="16" cm="1">
        <f t="array" aca="1" ref="DL153" ca="1">MAX(_xlfn._xlws.FILTER(CW153:DJ153,CW153:DJ153&lt;BU153))</f>
        <v>4.8504939914069496E-3</v>
      </c>
      <c r="DM153" s="16" cm="1">
        <f t="array" aca="1" ref="DM153" ca="1">MIN(_xlfn._xlws.FILTER(CW153:DJ153,CW153:DJ153&gt;BU153))</f>
        <v>9.5540033164076277E-3</v>
      </c>
      <c r="DN153" s="2" cm="1">
        <f t="array" aca="1" ref="DN153" ca="1">_FV(EC153,"Fechamento anterior",TRUE)</f>
        <v>38.99</v>
      </c>
      <c r="DO153" s="28">
        <f t="shared" ca="1" si="162"/>
        <v>0.22290897805607066</v>
      </c>
      <c r="DP153" s="15">
        <f t="shared" ca="1" si="190"/>
        <v>39.179120760724956</v>
      </c>
      <c r="DQ153" s="15">
        <f t="shared" ca="1" si="191"/>
        <v>39.362510589306737</v>
      </c>
      <c r="DR153" s="9"/>
      <c r="DS153" s="9"/>
      <c r="DT153" s="9"/>
      <c r="DU153" s="89">
        <v>9.9060508980958212E-3</v>
      </c>
      <c r="DV153" s="89">
        <f t="shared" ca="1" si="163"/>
        <v>4.7035093250006781E-3</v>
      </c>
      <c r="DW153" s="72">
        <f t="shared" ca="1" si="164"/>
        <v>0.3419307746838795</v>
      </c>
      <c r="DX153" s="37"/>
      <c r="DY153" s="35">
        <f t="shared" si="174"/>
        <v>0.94317336688437259</v>
      </c>
      <c r="DZ153" s="56"/>
      <c r="EA153" s="56"/>
      <c r="EC153" s="2" t="e" vm="155">
        <v>#VALUE!</v>
      </c>
      <c r="EE153" s="10" cm="1">
        <f t="array" aca="1" ref="EE153" ca="1">_FV(EC153,"Ações em circulação",TRUE)</f>
        <v>173500000</v>
      </c>
      <c r="EF153" s="18">
        <f>VLOOKUP(BP153,Fundamentus!A:U,5,FALSE)</f>
        <v>1.9179999999999999</v>
      </c>
      <c r="EG153" s="2">
        <f t="shared" ca="1" si="165"/>
        <v>3547794577.6850886</v>
      </c>
      <c r="EH153" s="17">
        <v>744682081.85610008</v>
      </c>
      <c r="EI153" s="17">
        <f t="shared" ca="1" si="166"/>
        <v>744682081.85610008</v>
      </c>
      <c r="EK153" s="16">
        <f t="shared" ca="1" si="153"/>
        <v>0</v>
      </c>
      <c r="EL153" s="32" t="str">
        <f>IF(VLOOKUP(BP153,Fundamentus!A:U,3,FALSE)&lt;15,"Bom",IF(VLOOKUP(BP153,Fundamentus!A:U,3,FALSE)&gt;15,"Ruim","n/a"))</f>
        <v>Bom</v>
      </c>
      <c r="EM153" s="28" t="str">
        <f>IF(VLOOKUP(BP153,Fundamentus!A:U,4,FALSE)&lt;1,"Baixo",IF(VLOOKUP(BP153,Fundamentus!A:U,4,FALSE)&lt;1.5,"Moderado",IF(VLOOKUP(BP153,Fundamentus!A:U,4,FALSE)&gt;1.5,"Alto","n/a")))</f>
        <v>Alto</v>
      </c>
      <c r="EN153" s="17" t="str">
        <f>IF(VLOOKUP(BP153,Fundamentus!A:U,8,FALSE)&lt;0,"Risco elevado",IF(VLOOKUP(BP153,Fundamentus!A:U,8,FALSE)&lt;1,"Saudável",IF(VLOOKUP(BP153,Fundamentus!A:U,8,FALSE)&lt;3,"Estável",IF(VLOOKUP(BP153,Fundamentus!A:U,8,FALSE)&gt;3,"Alerta","n/a"))))</f>
        <v>Estável</v>
      </c>
      <c r="EO153" s="28" t="str">
        <f t="shared" si="167"/>
        <v>Bom</v>
      </c>
      <c r="EP153" s="17" t="str">
        <f>IF(VLOOKUP(BP153,Fundamentus!A:U,12,FALSE)&lt;2,"Subvalorizada",IF(VLOOKUP(BP153,Fundamentus!A:U,12,FALSE)&lt;6,"Muita barata",IF(VLOOKUP(BP153,Fundamentus!A:U,12,FALSE)&lt;6,"Barata",IF(VLOOKUP(BP153,Fundamentus!A:U,12,FALSE)&lt;8,"Atrativa",IF(VLOOKUP(BP153,Fundamentus!A:U,12,FALSE)&gt;8,"Supervalorizada","n/a")))))</f>
        <v>Supervalorizada</v>
      </c>
      <c r="ER153" s="17" t="str">
        <f>IF(VLOOKUP(BP153,Fundamentus!A:U,17,FALSE)&lt;0.1,"Fraco retorno",IF(VLOOKUP(BP153,Fundamentus!A:U,17,FALSE)&gt;0.1,"Bom retorno","n/a"))</f>
        <v>Bom retorno</v>
      </c>
      <c r="ES153" s="17" t="str">
        <f>IF(VLOOKUP(BP153,Fundamentus!A:U,16,FALSE)&lt;0.1,"Ineficiente",IF(VLOOKUP(BP153,Fundamentus!A:U,16,FALSE)&gt;0.1,"Eficiente","n/a"))</f>
        <v>Ineficiente</v>
      </c>
      <c r="ET153" s="33" t="str">
        <f>IF(VLOOKUP(BP153,Fundamentus!A:U,16,FALSE)&lt;0.1,"Oper. Ineficiente",IF(VLOOKUP(BP153,Fundamentus!A:U,16,FALSE)&gt;0.1,"Oper.Eficiente","n/a"))</f>
        <v>Oper. Ineficiente</v>
      </c>
      <c r="EU153" s="34">
        <f>VLOOKUP(BP153,Fundamentus!A:U,14,FALSE)</f>
        <v>0.2099</v>
      </c>
      <c r="EV153" s="17" t="str">
        <f>IF(VLOOKUP(BP153,Fundamentus!A:U,21,FALSE)&lt;0,"Negativo",IF(VLOOKUP(BP153,Fundamentus!A:U,21,FALSE)&lt;0.05,"Fraco",IF(VLOOKUP(BP153,Fundamentus!A:U,21,FALSE)&lt;0.1,"Bom",IF(VLOOKUP(BP153,Fundamentus!A:U,21,FALSE)&gt;0.1,"Muito bom","n/a"))))</f>
        <v>Muito bom</v>
      </c>
      <c r="EX153" s="29" t="str">
        <f>IF(VLOOKUP(BP153,Fundamentus!A:U,15,FALSE)&gt;1,"Bom",IF(VLOOKUP(BP153,Fundamentus!A:U,15,FALSE)&lt;1,"Ruim","n/a"))</f>
        <v>Bom</v>
      </c>
      <c r="EY153" s="17" t="str">
        <f>IF(VLOOKUP(BP153,Fundamentus!A:U,20,FALSE)&lt;0.5,"Baixa",IF(VLOOKUP(BP153,Fundamentus!A:U,20,FALSE)&lt;1,"Moderada",IF(VLOOKUP(BP153,Fundamentus!A:U,20,FALSE)&lt;2,"Alerta",IF(VLOOKUP(BP153,Fundamentus!A:U,20,FALSE)&gt;2,"Alta","n/a"))))</f>
        <v>Moderada</v>
      </c>
      <c r="EZ153" s="10">
        <v>2</v>
      </c>
    </row>
    <row r="154" spans="1:156" s="2" customFormat="1" ht="11.25" x14ac:dyDescent="0.2">
      <c r="A154" s="4">
        <v>13.02</v>
      </c>
      <c r="B154" s="4">
        <v>12.81</v>
      </c>
      <c r="C154" s="4">
        <v>11.57</v>
      </c>
      <c r="D154" s="4">
        <v>11.21</v>
      </c>
      <c r="E154" s="4">
        <v>10.72</v>
      </c>
      <c r="F154" s="4">
        <v>10.75</v>
      </c>
      <c r="G154" s="4">
        <v>10.71</v>
      </c>
      <c r="H154" s="4">
        <v>11.43</v>
      </c>
      <c r="I154" s="4">
        <v>11.87</v>
      </c>
      <c r="J154" s="4">
        <v>11.97</v>
      </c>
      <c r="K154" s="4">
        <v>11.84</v>
      </c>
      <c r="L154" s="4">
        <v>11.88</v>
      </c>
      <c r="M154" s="4">
        <v>12.25</v>
      </c>
      <c r="N154" s="4">
        <v>12.04</v>
      </c>
      <c r="O154" s="4">
        <v>11.67</v>
      </c>
      <c r="P154" s="4">
        <v>11.69</v>
      </c>
      <c r="Q154" s="4">
        <v>11.7</v>
      </c>
      <c r="R154" s="4">
        <v>11.57</v>
      </c>
      <c r="S154" s="4">
        <v>11.55</v>
      </c>
      <c r="T154" s="4">
        <v>11.47</v>
      </c>
      <c r="U154" s="4">
        <v>11.25</v>
      </c>
      <c r="V154" s="4">
        <v>11.11</v>
      </c>
      <c r="W154" s="4">
        <v>10.51</v>
      </c>
      <c r="X154" s="4">
        <v>10.29</v>
      </c>
      <c r="Y154" s="4">
        <v>10.16</v>
      </c>
      <c r="Z154" s="4">
        <v>10.06</v>
      </c>
      <c r="AA154" s="4">
        <v>9.93</v>
      </c>
      <c r="AB154" s="4">
        <v>11.55</v>
      </c>
      <c r="AC154" s="4">
        <v>11.63</v>
      </c>
      <c r="AD154" s="4">
        <v>11.52</v>
      </c>
      <c r="AE154" s="4">
        <v>11.73</v>
      </c>
      <c r="AF154" s="4">
        <v>12.44</v>
      </c>
      <c r="AG154" s="4">
        <v>11.85</v>
      </c>
      <c r="AH154" s="4">
        <v>11.57</v>
      </c>
      <c r="AI154" s="4">
        <v>11.41</v>
      </c>
      <c r="AJ154" s="4">
        <v>11.08</v>
      </c>
      <c r="AK154" s="4">
        <v>12.45</v>
      </c>
      <c r="AL154" s="4">
        <v>13.53</v>
      </c>
      <c r="AM154" s="4">
        <v>13.42</v>
      </c>
      <c r="AN154" s="4">
        <v>13.6</v>
      </c>
      <c r="AO154" s="4">
        <v>13.24</v>
      </c>
      <c r="AP154" s="4">
        <v>13.3</v>
      </c>
      <c r="AQ154" s="4">
        <v>13.18</v>
      </c>
      <c r="AR154" s="4">
        <v>12.74</v>
      </c>
      <c r="AS154" s="4">
        <v>13.16</v>
      </c>
      <c r="AT154" s="4">
        <v>13.63</v>
      </c>
      <c r="AU154" s="4">
        <v>12.93</v>
      </c>
      <c r="AV154" s="4">
        <v>11.75</v>
      </c>
      <c r="AW154" s="4">
        <v>11.79</v>
      </c>
      <c r="AX154" s="4">
        <v>10.9</v>
      </c>
      <c r="AY154" s="12">
        <v>11.37</v>
      </c>
      <c r="AZ154" s="12">
        <v>12.63</v>
      </c>
      <c r="BA154" s="12">
        <v>12.32</v>
      </c>
      <c r="BB154" s="15">
        <v>12.06</v>
      </c>
      <c r="BC154" s="52">
        <v>12.36</v>
      </c>
      <c r="BD154" s="52">
        <v>12.04</v>
      </c>
      <c r="BE154" s="52">
        <v>12.15</v>
      </c>
      <c r="BF154" s="52">
        <v>12.59</v>
      </c>
      <c r="BG154" s="67">
        <v>13.1</v>
      </c>
      <c r="BH154" s="52">
        <v>12.9</v>
      </c>
      <c r="BI154" s="52">
        <v>13.36</v>
      </c>
      <c r="BJ154" s="52">
        <v>13.41</v>
      </c>
      <c r="BK154" s="52">
        <v>13.5</v>
      </c>
      <c r="BL154" s="52">
        <v>13.75</v>
      </c>
      <c r="BM154" s="52">
        <v>14.2</v>
      </c>
      <c r="BN154" s="52">
        <v>14.38</v>
      </c>
      <c r="BO154" s="52" cm="1">
        <f t="array" aca="1" ref="BO154" ca="1">_FV(EC154,"Preço")</f>
        <v>14.38</v>
      </c>
      <c r="BP154" s="69" t="s">
        <v>150</v>
      </c>
      <c r="BQ154" s="36" cm="1">
        <f t="array" aca="1" ref="BQ154" ca="1">_FV(EC154,"Média de volume",TRUE)</f>
        <v>978840</v>
      </c>
      <c r="BR154" s="36">
        <v>1112600</v>
      </c>
      <c r="BS154" s="36" cm="1">
        <f t="array" aca="1" ref="BS154" ca="1">_FV(EC154,"Volume")</f>
        <v>1112600</v>
      </c>
      <c r="BT154" s="24" cm="1">
        <f t="array" aca="1" ref="BT154" ca="1">_FV(EC154,"Beta")</f>
        <v>0.38629999999999998</v>
      </c>
      <c r="BU154" s="71" cm="1">
        <f t="array" aca="1" ref="BU154" ca="1">_FV(EC154,"Variação (%)",TRUE)</f>
        <v>-1.3717E-2</v>
      </c>
      <c r="BW154" s="17" cm="1">
        <f t="array" aca="1" ref="BW154" ca="1">_FV(EC154,"Baixo")</f>
        <v>14.36</v>
      </c>
      <c r="BX154" s="17" cm="1">
        <f t="array" aca="1" ref="BX154" ca="1">_FV(EC154,"Alto")</f>
        <v>14.62</v>
      </c>
      <c r="BY154" s="24"/>
      <c r="BZ154" s="63">
        <f ca="1">SQRT(22.5*(BO154/VLOOKUP(BP154,Fundamentus!A:U,3,FALSE))*(BO154/VLOOKUP(BP154,Fundamentus!A:U,4,FALSE)))</f>
        <v>31.297045429745907</v>
      </c>
      <c r="CB154" s="62">
        <f t="shared" ca="1" si="168"/>
        <v>0</v>
      </c>
      <c r="CC154" s="8"/>
      <c r="CD154" s="61">
        <f t="shared" si="169"/>
        <v>9.93</v>
      </c>
      <c r="CE154" s="61">
        <f t="shared" si="170"/>
        <v>14.38</v>
      </c>
      <c r="CF154" s="61">
        <f t="shared" si="171"/>
        <v>12.084090909090909</v>
      </c>
      <c r="CG154" s="14"/>
      <c r="CH154" s="35">
        <f t="shared" si="154"/>
        <v>13.966073301945586</v>
      </c>
      <c r="CI154" s="15">
        <f t="shared" si="172"/>
        <v>14.729999999999791</v>
      </c>
      <c r="CJ154" s="35">
        <f t="shared" si="155"/>
        <v>15.493926698053995</v>
      </c>
      <c r="CL154" s="14"/>
      <c r="CM154" s="17">
        <f t="shared" si="156"/>
        <v>6.9633333333333347</v>
      </c>
      <c r="CN154" s="17">
        <f t="shared" si="157"/>
        <v>8.4466666666666672</v>
      </c>
      <c r="CO154" s="17">
        <f t="shared" si="158"/>
        <v>11.413333333333336</v>
      </c>
      <c r="CP154" s="38">
        <f t="shared" si="173"/>
        <v>12.896666666666668</v>
      </c>
      <c r="CQ154" s="17">
        <f t="shared" si="159"/>
        <v>15.863333333333337</v>
      </c>
      <c r="CR154" s="17">
        <f t="shared" si="160"/>
        <v>17.346666666666671</v>
      </c>
      <c r="CS154" s="17">
        <f t="shared" si="161"/>
        <v>20.31333333333334</v>
      </c>
      <c r="CT154" s="2" cm="1">
        <f t="array" aca="1" ref="CT154" ca="1">MAX(_xlfn._xlws.FILTER(CM154:CS154,CM154:CS154&lt;BO154))</f>
        <v>12.896666666666668</v>
      </c>
      <c r="CU154" s="2" cm="1">
        <f t="array" aca="1" ref="CU154" ca="1">MIN(_xlfn._xlws.FILTER($CM154:$CS154,$CM154:$CS154&gt;BO154))</f>
        <v>15.863333333333337</v>
      </c>
      <c r="CV154" s="16">
        <f t="shared" ca="1" si="175"/>
        <v>0.2300336004135437</v>
      </c>
      <c r="CW154" s="20">
        <f t="shared" ca="1" si="176"/>
        <v>-0.11501680020677185</v>
      </c>
      <c r="CX154" s="20">
        <f t="shared" ca="1" si="177"/>
        <v>-7.6677866804514563E-2</v>
      </c>
      <c r="CY154" s="20">
        <f t="shared" ca="1" si="178"/>
        <v>-4.6006720082708744E-2</v>
      </c>
      <c r="CZ154" s="20">
        <f t="shared" ca="1" si="179"/>
        <v>-2.5559288934838189E-2</v>
      </c>
      <c r="DA154" s="20">
        <f t="shared" ca="1" si="180"/>
        <v>-1.3531388259620218E-2</v>
      </c>
      <c r="DB154" s="20">
        <f t="shared" ca="1" si="181"/>
        <v>-6.9707151640467785E-3</v>
      </c>
      <c r="DC154" s="20">
        <f t="shared" ca="1" si="182"/>
        <v>-3.5389784679006725E-3</v>
      </c>
      <c r="DD154" s="21">
        <f t="shared" ca="1" si="183"/>
        <v>3.5389784679006725E-3</v>
      </c>
      <c r="DE154" s="21">
        <f t="shared" ca="1" si="184"/>
        <v>6.9707151640467785E-3</v>
      </c>
      <c r="DF154" s="21">
        <f t="shared" ca="1" si="185"/>
        <v>1.3531388259620218E-2</v>
      </c>
      <c r="DG154" s="21">
        <f t="shared" ca="1" si="186"/>
        <v>2.5559288934838189E-2</v>
      </c>
      <c r="DH154" s="21">
        <f t="shared" ca="1" si="187"/>
        <v>4.6006720082708744E-2</v>
      </c>
      <c r="DI154" s="21">
        <f t="shared" ca="1" si="188"/>
        <v>7.6677866804514563E-2</v>
      </c>
      <c r="DJ154" s="21">
        <f t="shared" ca="1" si="189"/>
        <v>0.11501680020677185</v>
      </c>
      <c r="DL154" s="16" cm="1">
        <f t="array" aca="1" ref="DL154" ca="1">MAX(_xlfn._xlws.FILTER(CW154:DJ154,CW154:DJ154&lt;BU154))</f>
        <v>-2.5559288934838189E-2</v>
      </c>
      <c r="DM154" s="16" cm="1">
        <f t="array" aca="1" ref="DM154" ca="1">MIN(_xlfn._xlws.FILTER(CW154:DJ154,CW154:DJ154&gt;BU154))</f>
        <v>-1.3531388259620218E-2</v>
      </c>
      <c r="DN154" s="2" cm="1">
        <f t="array" aca="1" ref="DN154" ca="1">_FV(EC154,"Fechamento anterior",TRUE)</f>
        <v>14.58</v>
      </c>
      <c r="DO154" s="28">
        <f t="shared" ca="1" si="162"/>
        <v>0.98453322236094043</v>
      </c>
      <c r="DP154" s="15">
        <f t="shared" ca="1" si="190"/>
        <v>14.207345567330059</v>
      </c>
      <c r="DQ154" s="15">
        <f t="shared" ca="1" si="191"/>
        <v>14.382712359174738</v>
      </c>
      <c r="DR154" s="9"/>
      <c r="DS154" s="9"/>
      <c r="DT154" s="9"/>
      <c r="DU154" s="89">
        <v>1.8983925847706196E-2</v>
      </c>
      <c r="DV154" s="89">
        <f t="shared" ca="1" si="163"/>
        <v>1.2027900675217971E-2</v>
      </c>
      <c r="DW154" s="72">
        <f t="shared" ca="1" si="164"/>
        <v>-0.45815914130409907</v>
      </c>
      <c r="DX154" s="37"/>
      <c r="DY154" s="35">
        <f t="shared" si="174"/>
        <v>0.38196334902710238</v>
      </c>
      <c r="DZ154" s="56"/>
      <c r="EA154" s="56"/>
      <c r="EC154" s="2" t="e" vm="156">
        <v>#VALUE!</v>
      </c>
      <c r="EE154" s="10" cm="1">
        <f t="array" aca="1" ref="EE154" ca="1">_FV(EC154,"Ações em circulação",TRUE)</f>
        <v>153719600</v>
      </c>
      <c r="EF154" s="18">
        <f>VLOOKUP(BP154,Fundamentus!A:U,5,FALSE)</f>
        <v>0.13700000000000001</v>
      </c>
      <c r="EG154" s="2">
        <f t="shared" ca="1" si="165"/>
        <v>16134947795.620438</v>
      </c>
      <c r="EH154" s="17">
        <v>343674388.04671532</v>
      </c>
      <c r="EI154" s="17">
        <f t="shared" ca="1" si="166"/>
        <v>343674388.04671532</v>
      </c>
      <c r="EK154" s="16">
        <f t="shared" ca="1" si="153"/>
        <v>0</v>
      </c>
      <c r="EL154" s="32" t="str">
        <f>IF(VLOOKUP(BP154,Fundamentus!A:U,3,FALSE)&lt;15,"Bom",IF(VLOOKUP(BP154,Fundamentus!A:U,3,FALSE)&gt;15,"Ruim","n/a"))</f>
        <v>Bom</v>
      </c>
      <c r="EM154" s="28" t="str">
        <f>IF(VLOOKUP(BP154,Fundamentus!A:U,4,FALSE)&lt;1,"Baixo",IF(VLOOKUP(BP154,Fundamentus!A:U,4,FALSE)&lt;1.5,"Moderado",IF(VLOOKUP(BP154,Fundamentus!A:U,4,FALSE)&gt;1.5,"Alto","n/a")))</f>
        <v>Baixo</v>
      </c>
      <c r="EN154" s="17" t="str">
        <f>IF(VLOOKUP(BP154,Fundamentus!A:U,8,FALSE)&lt;0,"Risco elevado",IF(VLOOKUP(BP154,Fundamentus!A:U,8,FALSE)&lt;1,"Saudável",IF(VLOOKUP(BP154,Fundamentus!A:U,8,FALSE)&lt;3,"Estável",IF(VLOOKUP(BP154,Fundamentus!A:U,8,FALSE)&gt;3,"Alerta","n/a"))))</f>
        <v>Saudável</v>
      </c>
      <c r="EO154" s="28" t="str">
        <f t="shared" si="167"/>
        <v>Ruim</v>
      </c>
      <c r="EP154" s="17" t="str">
        <f>IF(VLOOKUP(BP154,Fundamentus!A:U,12,FALSE)&lt;2,"Subvalorizada",IF(VLOOKUP(BP154,Fundamentus!A:U,12,FALSE)&lt;6,"Muita barata",IF(VLOOKUP(BP154,Fundamentus!A:U,12,FALSE)&lt;6,"Barata",IF(VLOOKUP(BP154,Fundamentus!A:U,12,FALSE)&lt;8,"Atrativa",IF(VLOOKUP(BP154,Fundamentus!A:U,12,FALSE)&gt;8,"Supervalorizada","n/a")))))</f>
        <v>Muita barata</v>
      </c>
      <c r="ER154" s="17" t="str">
        <f>IF(VLOOKUP(BP154,Fundamentus!A:U,17,FALSE)&lt;0.1,"Fraco retorno",IF(VLOOKUP(BP154,Fundamentus!A:U,17,FALSE)&gt;0.1,"Bom retorno","n/a"))</f>
        <v>Fraco retorno</v>
      </c>
      <c r="ES154" s="17" t="str">
        <f>IF(VLOOKUP(BP154,Fundamentus!A:U,16,FALSE)&lt;0.1,"Ineficiente",IF(VLOOKUP(BP154,Fundamentus!A:U,16,FALSE)&gt;0.1,"Eficiente","n/a"))</f>
        <v>Ineficiente</v>
      </c>
      <c r="ET154" s="33" t="str">
        <f>IF(VLOOKUP(BP154,Fundamentus!A:U,16,FALSE)&lt;0.1,"Oper. Ineficiente",IF(VLOOKUP(BP154,Fundamentus!A:U,16,FALSE)&gt;0.1,"Oper.Eficiente","n/a"))</f>
        <v>Oper. Ineficiente</v>
      </c>
      <c r="EU154" s="34">
        <f>VLOOKUP(BP154,Fundamentus!A:U,14,FALSE)</f>
        <v>2.1299999999999999E-2</v>
      </c>
      <c r="EV154" s="17" t="str">
        <f>IF(VLOOKUP(BP154,Fundamentus!A:U,21,FALSE)&lt;0,"Negativo",IF(VLOOKUP(BP154,Fundamentus!A:U,21,FALSE)&lt;0.05,"Fraco",IF(VLOOKUP(BP154,Fundamentus!A:U,21,FALSE)&lt;0.1,"Bom",IF(VLOOKUP(BP154,Fundamentus!A:U,21,FALSE)&gt;0.1,"Muito bom","n/a"))))</f>
        <v>Bom</v>
      </c>
      <c r="EX154" s="29" t="str">
        <f>IF(VLOOKUP(BP154,Fundamentus!A:U,15,FALSE)&gt;1,"Bom",IF(VLOOKUP(BP154,Fundamentus!A:U,15,FALSE)&lt;1,"Ruim","n/a"))</f>
        <v>Bom</v>
      </c>
      <c r="EY154" s="17" t="str">
        <f>IF(VLOOKUP(BP154,Fundamentus!A:U,20,FALSE)&lt;0.5,"Baixa",IF(VLOOKUP(BP154,Fundamentus!A:U,20,FALSE)&lt;1,"Moderada",IF(VLOOKUP(BP154,Fundamentus!A:U,20,FALSE)&lt;2,"Alerta",IF(VLOOKUP(BP154,Fundamentus!A:U,20,FALSE)&gt;2,"Alta","n/a"))))</f>
        <v>Alerta</v>
      </c>
      <c r="EZ154" s="10"/>
    </row>
    <row r="155" spans="1:156" s="2" customFormat="1" ht="11.25" x14ac:dyDescent="0.2">
      <c r="A155" s="4">
        <v>26.82</v>
      </c>
      <c r="B155" s="4">
        <v>30.27</v>
      </c>
      <c r="C155" s="4">
        <v>31.1</v>
      </c>
      <c r="D155" s="4">
        <v>29</v>
      </c>
      <c r="E155" s="4">
        <v>27.3</v>
      </c>
      <c r="F155" s="4">
        <v>26.91</v>
      </c>
      <c r="G155" s="4">
        <v>26.93</v>
      </c>
      <c r="H155" s="4">
        <v>26.35</v>
      </c>
      <c r="I155" s="4">
        <v>27.01</v>
      </c>
      <c r="J155" s="4">
        <v>27.7</v>
      </c>
      <c r="K155" s="4">
        <v>28.94</v>
      </c>
      <c r="L155" s="4">
        <v>28.1</v>
      </c>
      <c r="M155" s="4">
        <v>28.08</v>
      </c>
      <c r="N155" s="4">
        <v>27.98</v>
      </c>
      <c r="O155" s="4">
        <v>29.68</v>
      </c>
      <c r="P155" s="4">
        <v>31.76</v>
      </c>
      <c r="Q155" s="4">
        <v>33.57</v>
      </c>
      <c r="R155" s="4">
        <v>31.93</v>
      </c>
      <c r="S155" s="4">
        <v>33.35</v>
      </c>
      <c r="T155" s="4">
        <v>34.76</v>
      </c>
      <c r="U155" s="4">
        <v>32.58</v>
      </c>
      <c r="V155" s="4">
        <v>31.51</v>
      </c>
      <c r="W155" s="4">
        <v>30.56</v>
      </c>
      <c r="X155" s="4">
        <v>29.96</v>
      </c>
      <c r="Y155" s="4">
        <v>29.11</v>
      </c>
      <c r="Z155" s="4">
        <v>29.12</v>
      </c>
      <c r="AA155" s="4">
        <v>28.77</v>
      </c>
      <c r="AB155" s="4">
        <v>28.68</v>
      </c>
      <c r="AC155" s="4">
        <v>29.5</v>
      </c>
      <c r="AD155" s="4">
        <v>29.11</v>
      </c>
      <c r="AE155" s="4">
        <v>27.05</v>
      </c>
      <c r="AF155" s="4">
        <v>27.4</v>
      </c>
      <c r="AG155" s="4">
        <v>26.82</v>
      </c>
      <c r="AH155" s="4">
        <v>26.16</v>
      </c>
      <c r="AI155" s="4">
        <v>25.28</v>
      </c>
      <c r="AJ155" s="4">
        <v>25.15</v>
      </c>
      <c r="AK155" s="4">
        <v>26.27</v>
      </c>
      <c r="AL155" s="4">
        <v>26.71</v>
      </c>
      <c r="AM155" s="4">
        <v>28.01</v>
      </c>
      <c r="AN155" s="4">
        <v>27.95</v>
      </c>
      <c r="AO155" s="4">
        <v>28.15</v>
      </c>
      <c r="AP155" s="4">
        <v>29.47</v>
      </c>
      <c r="AQ155" s="4">
        <v>29.68</v>
      </c>
      <c r="AR155" s="4">
        <v>27.19</v>
      </c>
      <c r="AS155" s="4">
        <v>28.14</v>
      </c>
      <c r="AT155" s="4">
        <v>28.33</v>
      </c>
      <c r="AU155" s="4">
        <v>28.635000000000002</v>
      </c>
      <c r="AV155" s="4">
        <v>28.82</v>
      </c>
      <c r="AW155" s="4">
        <v>28.62</v>
      </c>
      <c r="AX155" s="4">
        <v>29.06</v>
      </c>
      <c r="AY155" s="12">
        <v>29.87</v>
      </c>
      <c r="AZ155" s="12">
        <v>31.42</v>
      </c>
      <c r="BA155" s="12">
        <v>32.020000000000003</v>
      </c>
      <c r="BB155" s="15">
        <v>33.700000000000003</v>
      </c>
      <c r="BC155" s="52">
        <v>35.229999999999997</v>
      </c>
      <c r="BD155" s="52">
        <v>36.9</v>
      </c>
      <c r="BE155" s="52">
        <v>37.78</v>
      </c>
      <c r="BF155" s="52">
        <v>35.840000000000003</v>
      </c>
      <c r="BG155" s="67">
        <v>35.1</v>
      </c>
      <c r="BH155" s="52">
        <v>34.799999999999997</v>
      </c>
      <c r="BI155" s="52">
        <v>34.9</v>
      </c>
      <c r="BJ155" s="52">
        <v>34.93</v>
      </c>
      <c r="BK155" s="52">
        <v>33.299999999999997</v>
      </c>
      <c r="BL155" s="52">
        <v>32.89</v>
      </c>
      <c r="BM155" s="52">
        <v>32.520000000000003</v>
      </c>
      <c r="BN155" s="52">
        <v>32.4</v>
      </c>
      <c r="BO155" s="52" cm="1">
        <f t="array" aca="1" ref="BO155" ca="1">_FV(EC155,"Preço")</f>
        <v>32.4</v>
      </c>
      <c r="BP155" s="69" t="s">
        <v>176</v>
      </c>
      <c r="BQ155" s="36" cm="1">
        <f t="array" aca="1" ref="BQ155" ca="1">_FV(EC155,"Média de volume",TRUE)</f>
        <v>3254370</v>
      </c>
      <c r="BR155" s="36">
        <v>3804600</v>
      </c>
      <c r="BS155" s="36" cm="1">
        <f t="array" aca="1" ref="BS155" ca="1">_FV(EC155,"Volume")</f>
        <v>3804600</v>
      </c>
      <c r="BT155" s="24" cm="1">
        <f t="array" aca="1" ref="BT155" ca="1">_FV(EC155,"Beta")</f>
        <v>1.5201</v>
      </c>
      <c r="BU155" s="71" cm="1">
        <f t="array" aca="1" ref="BU155" ca="1">_FV(EC155,"Variação (%)",TRUE)</f>
        <v>-3.0769999999999999E-3</v>
      </c>
      <c r="BW155" s="17" cm="1">
        <f t="array" aca="1" ref="BW155" ca="1">_FV(EC155,"Baixo")</f>
        <v>32.33</v>
      </c>
      <c r="BX155" s="17" cm="1">
        <f t="array" aca="1" ref="BX155" ca="1">_FV(EC155,"Alto")</f>
        <v>33.31</v>
      </c>
      <c r="BY155" s="24"/>
      <c r="BZ155" s="63">
        <f ca="1">SQRT(22.5*(BO155/VLOOKUP(BP155,Fundamentus!A:U,3,FALSE))*(BO155/VLOOKUP(BP155,Fundamentus!A:U,4,FALSE)))</f>
        <v>20.493964004088809</v>
      </c>
      <c r="CB155" s="62">
        <f t="shared" ca="1" si="168"/>
        <v>0</v>
      </c>
      <c r="CC155" s="8"/>
      <c r="CD155" s="61">
        <f t="shared" si="169"/>
        <v>25.15</v>
      </c>
      <c r="CE155" s="61">
        <f t="shared" si="170"/>
        <v>37.78</v>
      </c>
      <c r="CF155" s="61">
        <f t="shared" si="171"/>
        <v>30.044469696969699</v>
      </c>
      <c r="CG155" s="14"/>
      <c r="CH155" s="35">
        <f t="shared" si="154"/>
        <v>30.176734061844808</v>
      </c>
      <c r="CI155" s="15">
        <f t="shared" si="172"/>
        <v>32.009999999999991</v>
      </c>
      <c r="CJ155" s="35">
        <f t="shared" si="155"/>
        <v>33.84326593815517</v>
      </c>
      <c r="CL155" s="14"/>
      <c r="CM155" s="17">
        <f t="shared" si="156"/>
        <v>13.143333333333331</v>
      </c>
      <c r="CN155" s="17">
        <f t="shared" si="157"/>
        <v>19.146666666666665</v>
      </c>
      <c r="CO155" s="17">
        <f t="shared" si="158"/>
        <v>25.773333333333333</v>
      </c>
      <c r="CP155" s="38">
        <f t="shared" si="173"/>
        <v>31.776666666666667</v>
      </c>
      <c r="CQ155" s="17">
        <f t="shared" si="159"/>
        <v>38.403333333333336</v>
      </c>
      <c r="CR155" s="17">
        <f t="shared" si="160"/>
        <v>44.406666666666666</v>
      </c>
      <c r="CS155" s="17">
        <f t="shared" si="161"/>
        <v>51.033333333333339</v>
      </c>
      <c r="CT155" s="2" cm="1">
        <f t="array" aca="1" ref="CT155" ca="1">MAX(_xlfn._xlws.FILTER(CM155:CS155,CM155:CS155&lt;BO155))</f>
        <v>31.776666666666667</v>
      </c>
      <c r="CU155" s="2" cm="1">
        <f t="array" aca="1" ref="CU155" ca="1">MIN(_xlfn._xlws.FILTER($CM155:$CS155,$CM155:$CS155&gt;BO155))</f>
        <v>38.403333333333336</v>
      </c>
      <c r="CV155" s="16">
        <f t="shared" ca="1" si="175"/>
        <v>0.20853876009650696</v>
      </c>
      <c r="CW155" s="20">
        <f t="shared" ca="1" si="176"/>
        <v>-0.10426938004825348</v>
      </c>
      <c r="CX155" s="20">
        <f t="shared" ca="1" si="177"/>
        <v>-6.9512920032168982E-2</v>
      </c>
      <c r="CY155" s="20">
        <f t="shared" ca="1" si="178"/>
        <v>-4.1707752019301395E-2</v>
      </c>
      <c r="CZ155" s="20">
        <f t="shared" ca="1" si="179"/>
        <v>-2.317097334405633E-2</v>
      </c>
      <c r="DA155" s="20">
        <f t="shared" ca="1" si="180"/>
        <v>-1.2266985888029821E-2</v>
      </c>
      <c r="DB155" s="20">
        <f t="shared" ca="1" si="181"/>
        <v>-6.3193563665608172E-3</v>
      </c>
      <c r="DC155" s="20">
        <f t="shared" ca="1" si="182"/>
        <v>-3.2082886168693378E-3</v>
      </c>
      <c r="DD155" s="21">
        <f t="shared" ca="1" si="183"/>
        <v>3.2082886168693378E-3</v>
      </c>
      <c r="DE155" s="21">
        <f t="shared" ca="1" si="184"/>
        <v>6.3193563665608172E-3</v>
      </c>
      <c r="DF155" s="21">
        <f t="shared" ca="1" si="185"/>
        <v>1.2266985888029821E-2</v>
      </c>
      <c r="DG155" s="21">
        <f t="shared" ca="1" si="186"/>
        <v>2.317097334405633E-2</v>
      </c>
      <c r="DH155" s="21">
        <f t="shared" ca="1" si="187"/>
        <v>4.1707752019301395E-2</v>
      </c>
      <c r="DI155" s="21">
        <f t="shared" ca="1" si="188"/>
        <v>6.9512920032168982E-2</v>
      </c>
      <c r="DJ155" s="21">
        <f t="shared" ca="1" si="189"/>
        <v>0.10426938004825348</v>
      </c>
      <c r="DL155" s="16" cm="1">
        <f t="array" aca="1" ref="DL155" ca="1">MAX(_xlfn._xlws.FILTER(CW155:DJ155,CW155:DJ155&lt;BU155))</f>
        <v>-3.2082886168693378E-3</v>
      </c>
      <c r="DM155" s="16" cm="1">
        <f t="array" aca="1" ref="DM155" ca="1">MIN(_xlfn._xlws.FILTER(CW155:DJ155,CW155:DJ155&gt;BU155))</f>
        <v>3.2082886168693378E-3</v>
      </c>
      <c r="DN155" s="2" cm="1">
        <f t="array" aca="1" ref="DN155" ca="1">_FV(EC155,"Fechamento anterior",TRUE)</f>
        <v>32.5</v>
      </c>
      <c r="DO155" s="28">
        <f t="shared" ca="1" si="162"/>
        <v>2.0472837022114953E-2</v>
      </c>
      <c r="DP155" s="15">
        <f t="shared" ca="1" si="190"/>
        <v>32.395730619951749</v>
      </c>
      <c r="DQ155" s="15">
        <f t="shared" ca="1" si="191"/>
        <v>32.604269380048251</v>
      </c>
      <c r="DR155" s="9"/>
      <c r="DS155" s="9"/>
      <c r="DT155" s="9"/>
      <c r="DU155" s="89">
        <v>6.5411107364770444E-3</v>
      </c>
      <c r="DV155" s="89">
        <f t="shared" ca="1" si="163"/>
        <v>6.4165772337386757E-3</v>
      </c>
      <c r="DW155" s="72">
        <f t="shared" ca="1" si="164"/>
        <v>0.2127350930833663</v>
      </c>
      <c r="DX155" s="37"/>
      <c r="DY155" s="35">
        <f t="shared" si="174"/>
        <v>0.91663296907759062</v>
      </c>
      <c r="DZ155" s="56"/>
      <c r="EA155" s="56"/>
      <c r="EC155" s="2" t="e" vm="157">
        <v>#VALUE!</v>
      </c>
      <c r="EE155" s="10" cm="1">
        <f t="array" aca="1" ref="EE155" ca="1">_FV(EC155,"Ações em circulação",TRUE)</f>
        <v>2289292000</v>
      </c>
      <c r="EF155" s="18">
        <f>VLOOKUP(BP155,Fundamentus!A:U,5,FALSE)</f>
        <v>1.476</v>
      </c>
      <c r="EG155" s="2">
        <f t="shared" ca="1" si="165"/>
        <v>50252751219.512199</v>
      </c>
      <c r="EH155" s="17">
        <v>4075498123.9024396</v>
      </c>
      <c r="EI155" s="17">
        <f t="shared" ca="1" si="166"/>
        <v>4075498123.9024396</v>
      </c>
      <c r="EK155" s="16">
        <f t="shared" ca="1" si="153"/>
        <v>0</v>
      </c>
      <c r="EL155" s="32" t="str">
        <f>IF(VLOOKUP(BP155,Fundamentus!A:U,3,FALSE)&lt;15,"Bom",IF(VLOOKUP(BP155,Fundamentus!A:U,3,FALSE)&gt;15,"Ruim","n/a"))</f>
        <v>Ruim</v>
      </c>
      <c r="EM155" s="28" t="str">
        <f>IF(VLOOKUP(BP155,Fundamentus!A:U,4,FALSE)&lt;1,"Baixo",IF(VLOOKUP(BP155,Fundamentus!A:U,4,FALSE)&lt;1.5,"Moderado",IF(VLOOKUP(BP155,Fundamentus!A:U,4,FALSE)&gt;1.5,"Alto","n/a")))</f>
        <v>Alto</v>
      </c>
      <c r="EN155" s="17" t="str">
        <f>IF(VLOOKUP(BP155,Fundamentus!A:U,8,FALSE)&lt;0,"Risco elevado",IF(VLOOKUP(BP155,Fundamentus!A:U,8,FALSE)&lt;1,"Saudável",IF(VLOOKUP(BP155,Fundamentus!A:U,8,FALSE)&lt;3,"Estável",IF(VLOOKUP(BP155,Fundamentus!A:U,8,FALSE)&gt;3,"Alerta","n/a"))))</f>
        <v>Estável</v>
      </c>
      <c r="EO155" s="28" t="str">
        <f t="shared" si="167"/>
        <v>Bom</v>
      </c>
      <c r="EP155" s="17" t="str">
        <f>IF(VLOOKUP(BP155,Fundamentus!A:U,12,FALSE)&lt;2,"Subvalorizada",IF(VLOOKUP(BP155,Fundamentus!A:U,12,FALSE)&lt;6,"Muita barata",IF(VLOOKUP(BP155,Fundamentus!A:U,12,FALSE)&lt;6,"Barata",IF(VLOOKUP(BP155,Fundamentus!A:U,12,FALSE)&lt;8,"Atrativa",IF(VLOOKUP(BP155,Fundamentus!A:U,12,FALSE)&gt;8,"Supervalorizada","n/a")))))</f>
        <v>Atrativa</v>
      </c>
      <c r="ER155" s="17" t="str">
        <f>IF(VLOOKUP(BP155,Fundamentus!A:U,17,FALSE)&lt;0.1,"Fraco retorno",IF(VLOOKUP(BP155,Fundamentus!A:U,17,FALSE)&gt;0.1,"Bom retorno","n/a"))</f>
        <v>Bom retorno</v>
      </c>
      <c r="ES155" s="17" t="str">
        <f>IF(VLOOKUP(BP155,Fundamentus!A:U,16,FALSE)&lt;0.1,"Ineficiente",IF(VLOOKUP(BP155,Fundamentus!A:U,16,FALSE)&gt;0.1,"Eficiente","n/a"))</f>
        <v>Eficiente</v>
      </c>
      <c r="ET155" s="33" t="str">
        <f>IF(VLOOKUP(BP155,Fundamentus!A:U,16,FALSE)&lt;0.1,"Oper. Ineficiente",IF(VLOOKUP(BP155,Fundamentus!A:U,16,FALSE)&gt;0.1,"Oper.Eficiente","n/a"))</f>
        <v>Oper.Eficiente</v>
      </c>
      <c r="EU155" s="34">
        <f>VLOOKUP(BP155,Fundamentus!A:U,14,FALSE)</f>
        <v>8.1100000000000005E-2</v>
      </c>
      <c r="EV155" s="17" t="str">
        <f>IF(VLOOKUP(BP155,Fundamentus!A:U,21,FALSE)&lt;0,"Negativo",IF(VLOOKUP(BP155,Fundamentus!A:U,21,FALSE)&lt;0.05,"Fraco",IF(VLOOKUP(BP155,Fundamentus!A:U,21,FALSE)&lt;0.1,"Bom",IF(VLOOKUP(BP155,Fundamentus!A:U,21,FALSE)&gt;0.1,"Muito bom","n/a"))))</f>
        <v>Muito bom</v>
      </c>
      <c r="EX155" s="29" t="str">
        <f>IF(VLOOKUP(BP155,Fundamentus!A:U,15,FALSE)&gt;1,"Bom",IF(VLOOKUP(BP155,Fundamentus!A:U,15,FALSE)&lt;1,"Ruim","n/a"))</f>
        <v>Bom</v>
      </c>
      <c r="EY155" s="17" t="str">
        <f>IF(VLOOKUP(BP155,Fundamentus!A:U,20,FALSE)&lt;0.5,"Baixa",IF(VLOOKUP(BP155,Fundamentus!A:U,20,FALSE)&lt;1,"Moderada",IF(VLOOKUP(BP155,Fundamentus!A:U,20,FALSE)&lt;2,"Alerta",IF(VLOOKUP(BP155,Fundamentus!A:U,20,FALSE)&gt;2,"Alta","n/a"))))</f>
        <v>Alerta</v>
      </c>
      <c r="EZ155" s="10">
        <v>1</v>
      </c>
    </row>
    <row r="156" spans="1:156" s="2" customFormat="1" ht="11.25" x14ac:dyDescent="0.2">
      <c r="A156" s="4">
        <v>50.35</v>
      </c>
      <c r="B156" s="4">
        <v>45.53</v>
      </c>
      <c r="C156" s="4">
        <v>46.45</v>
      </c>
      <c r="D156" s="4">
        <v>45.9</v>
      </c>
      <c r="E156" s="4">
        <v>43.3</v>
      </c>
      <c r="F156" s="4">
        <v>45</v>
      </c>
      <c r="G156" s="4">
        <v>44.9</v>
      </c>
      <c r="H156" s="4">
        <v>44.49</v>
      </c>
      <c r="I156" s="4">
        <v>45.25</v>
      </c>
      <c r="J156" s="4">
        <v>46.42</v>
      </c>
      <c r="K156" s="4">
        <v>49.47</v>
      </c>
      <c r="L156" s="4">
        <v>49.03</v>
      </c>
      <c r="M156" s="4">
        <v>48.7</v>
      </c>
      <c r="N156" s="4">
        <v>50.08</v>
      </c>
      <c r="O156" s="4">
        <v>50.76</v>
      </c>
      <c r="P156" s="4">
        <v>52</v>
      </c>
      <c r="Q156" s="4">
        <v>53.17</v>
      </c>
      <c r="R156" s="4">
        <v>51.83</v>
      </c>
      <c r="S156" s="4">
        <v>54.96</v>
      </c>
      <c r="T156" s="4">
        <v>54.85</v>
      </c>
      <c r="U156" s="4">
        <v>55.28</v>
      </c>
      <c r="V156" s="4">
        <v>55.6</v>
      </c>
      <c r="W156" s="4">
        <v>54.62</v>
      </c>
      <c r="X156" s="4">
        <v>52.67</v>
      </c>
      <c r="Y156" s="4">
        <v>53.48</v>
      </c>
      <c r="Z156" s="4">
        <v>53.43</v>
      </c>
      <c r="AA156" s="4">
        <v>52.39</v>
      </c>
      <c r="AB156" s="4">
        <v>52.07</v>
      </c>
      <c r="AC156" s="4">
        <v>51.6</v>
      </c>
      <c r="AD156" s="4">
        <v>51</v>
      </c>
      <c r="AE156" s="4">
        <v>49.52</v>
      </c>
      <c r="AF156" s="4">
        <v>51.66</v>
      </c>
      <c r="AG156" s="4">
        <v>49.42</v>
      </c>
      <c r="AH156" s="4">
        <v>48.04</v>
      </c>
      <c r="AI156" s="4">
        <v>47.16</v>
      </c>
      <c r="AJ156" s="4">
        <v>46.86</v>
      </c>
      <c r="AK156" s="4">
        <v>46.87</v>
      </c>
      <c r="AL156" s="4">
        <v>49.1</v>
      </c>
      <c r="AM156" s="4">
        <v>50.56</v>
      </c>
      <c r="AN156" s="4">
        <v>51.87</v>
      </c>
      <c r="AO156" s="4">
        <v>50.9</v>
      </c>
      <c r="AP156" s="4">
        <v>53.85</v>
      </c>
      <c r="AQ156" s="4">
        <v>52.74</v>
      </c>
      <c r="AR156" s="4">
        <v>48.34</v>
      </c>
      <c r="AS156" s="4">
        <v>49.47</v>
      </c>
      <c r="AT156" s="4">
        <v>51.16</v>
      </c>
      <c r="AU156" s="4">
        <v>49.73</v>
      </c>
      <c r="AV156" s="4">
        <v>50.15</v>
      </c>
      <c r="AW156" s="4">
        <v>51.05</v>
      </c>
      <c r="AX156" s="4">
        <v>50.45</v>
      </c>
      <c r="AY156" s="12">
        <v>26.41</v>
      </c>
      <c r="AZ156" s="12">
        <v>27.15</v>
      </c>
      <c r="BA156" s="12">
        <v>27.79</v>
      </c>
      <c r="BB156" s="15">
        <v>27.91</v>
      </c>
      <c r="BC156" s="52">
        <v>28.15</v>
      </c>
      <c r="BD156" s="52">
        <v>27.66</v>
      </c>
      <c r="BE156" s="52">
        <v>28.66</v>
      </c>
      <c r="BF156" s="52">
        <v>28.78</v>
      </c>
      <c r="BG156" s="67">
        <v>29.79</v>
      </c>
      <c r="BH156" s="52">
        <v>30.28</v>
      </c>
      <c r="BI156" s="52">
        <v>30.4</v>
      </c>
      <c r="BJ156" s="52">
        <v>32.4</v>
      </c>
      <c r="BK156" s="52">
        <v>32.1</v>
      </c>
      <c r="BL156" s="52">
        <v>30.95</v>
      </c>
      <c r="BM156" s="52">
        <v>30.7</v>
      </c>
      <c r="BN156" s="52">
        <v>31.58</v>
      </c>
      <c r="BO156" s="52" cm="1">
        <f t="array" aca="1" ref="BO156" ca="1">_FV(EC156,"Preço")</f>
        <v>31.58</v>
      </c>
      <c r="BP156" s="69" t="s">
        <v>152</v>
      </c>
      <c r="BQ156" s="36" cm="1">
        <f t="array" aca="1" ref="BQ156" ca="1">_FV(EC156,"Média de volume",TRUE)</f>
        <v>5522090</v>
      </c>
      <c r="BR156" s="36">
        <v>3551200</v>
      </c>
      <c r="BS156" s="36" cm="1">
        <f t="array" aca="1" ref="BS156" ca="1">_FV(EC156,"Volume")</f>
        <v>3551200</v>
      </c>
      <c r="BT156" s="24" cm="1">
        <f t="array" aca="1" ref="BT156" ca="1">_FV(EC156,"Beta")</f>
        <v>0.54159999999999997</v>
      </c>
      <c r="BU156" s="71" cm="1">
        <f t="array" aca="1" ref="BU156" ca="1">_FV(EC156,"Variação (%)",TRUE)</f>
        <v>3.1769999999999997E-3</v>
      </c>
      <c r="BW156" s="17" cm="1">
        <f t="array" aca="1" ref="BW156" ca="1">_FV(EC156,"Baixo")</f>
        <v>31.24</v>
      </c>
      <c r="BX156" s="17" cm="1">
        <f t="array" aca="1" ref="BX156" ca="1">_FV(EC156,"Alto")</f>
        <v>31.75</v>
      </c>
      <c r="BY156" s="24"/>
      <c r="BZ156" s="63">
        <f ca="1">SQRT(22.5*(BO156/VLOOKUP(BP156,Fundamentus!A:U,3,FALSE))*(BO156/VLOOKUP(BP156,Fundamentus!A:U,4,FALSE)))</f>
        <v>29.508950189090246</v>
      </c>
      <c r="CB156" s="62">
        <f t="shared" ca="1" si="168"/>
        <v>0</v>
      </c>
      <c r="CC156" s="8"/>
      <c r="CD156" s="61">
        <f t="shared" si="169"/>
        <v>26.41</v>
      </c>
      <c r="CE156" s="61">
        <f t="shared" si="170"/>
        <v>55.6</v>
      </c>
      <c r="CF156" s="61">
        <f t="shared" si="171"/>
        <v>45.063484848484833</v>
      </c>
      <c r="CG156" s="14"/>
      <c r="CH156" s="35">
        <f t="shared" si="154"/>
        <v>29.581286790703849</v>
      </c>
      <c r="CI156" s="15">
        <f t="shared" si="172"/>
        <v>30.879999999999882</v>
      </c>
      <c r="CJ156" s="35">
        <f t="shared" si="155"/>
        <v>32.178713209295914</v>
      </c>
      <c r="CL156" s="14"/>
      <c r="CM156" s="17">
        <f t="shared" si="156"/>
        <v>-9.063333333333329</v>
      </c>
      <c r="CN156" s="17">
        <f t="shared" si="157"/>
        <v>8.6733333333333356</v>
      </c>
      <c r="CO156" s="17">
        <f t="shared" si="158"/>
        <v>20.126666666666672</v>
      </c>
      <c r="CP156" s="38">
        <f t="shared" si="173"/>
        <v>37.863333333333337</v>
      </c>
      <c r="CQ156" s="17">
        <f t="shared" si="159"/>
        <v>49.316666666666677</v>
      </c>
      <c r="CR156" s="17">
        <f t="shared" si="160"/>
        <v>67.053333333333342</v>
      </c>
      <c r="CS156" s="17">
        <f t="shared" si="161"/>
        <v>78.506666666666675</v>
      </c>
      <c r="CT156" s="2" cm="1">
        <f t="array" aca="1" ref="CT156" ca="1">MAX(_xlfn._xlws.FILTER(CM156:CS156,CM156:CS156&lt;BO156))</f>
        <v>20.126666666666672</v>
      </c>
      <c r="CU156" s="2" cm="1">
        <f t="array" aca="1" ref="CU156" ca="1">MIN(_xlfn._xlws.FILTER($CM156:$CS156,$CM156:$CS156&gt;BO156))</f>
        <v>37.863333333333337</v>
      </c>
      <c r="CV156" s="16">
        <f t="shared" ca="1" si="175"/>
        <v>0.88125207022192753</v>
      </c>
      <c r="CW156" s="20">
        <f t="shared" ca="1" si="176"/>
        <v>-0.44062603511096377</v>
      </c>
      <c r="CX156" s="20">
        <f t="shared" ca="1" si="177"/>
        <v>-0.29375069007397586</v>
      </c>
      <c r="CY156" s="20">
        <f t="shared" ca="1" si="178"/>
        <v>-0.17625041404438552</v>
      </c>
      <c r="CZ156" s="20">
        <f t="shared" ca="1" si="179"/>
        <v>-9.7916896691325278E-2</v>
      </c>
      <c r="DA156" s="20">
        <f t="shared" ca="1" si="180"/>
        <v>-5.1838357071878088E-2</v>
      </c>
      <c r="DB156" s="20">
        <f t="shared" ca="1" si="181"/>
        <v>-2.6704608188543259E-2</v>
      </c>
      <c r="DC156" s="20">
        <f t="shared" ca="1" si="182"/>
        <v>-1.3557724157260424E-2</v>
      </c>
      <c r="DD156" s="21">
        <f t="shared" ca="1" si="183"/>
        <v>1.3557724157260424E-2</v>
      </c>
      <c r="DE156" s="21">
        <f t="shared" ca="1" si="184"/>
        <v>2.6704608188543259E-2</v>
      </c>
      <c r="DF156" s="21">
        <f t="shared" ca="1" si="185"/>
        <v>5.1838357071878088E-2</v>
      </c>
      <c r="DG156" s="21">
        <f t="shared" ca="1" si="186"/>
        <v>9.7916896691325278E-2</v>
      </c>
      <c r="DH156" s="21">
        <f t="shared" ca="1" si="187"/>
        <v>0.17625041404438552</v>
      </c>
      <c r="DI156" s="21">
        <f t="shared" ca="1" si="188"/>
        <v>0.29375069007397586</v>
      </c>
      <c r="DJ156" s="21">
        <f t="shared" ca="1" si="189"/>
        <v>0.44062603511096377</v>
      </c>
      <c r="DL156" s="16" cm="1">
        <f t="array" aca="1" ref="DL156" ca="1">MAX(_xlfn._xlws.FILTER(CW156:DJ156,CW156:DJ156&lt;BU156))</f>
        <v>-1.3557724157260424E-2</v>
      </c>
      <c r="DM156" s="16" cm="1">
        <f t="array" aca="1" ref="DM156" ca="1">MIN(_xlfn._xlws.FILTER(CW156:DJ156,CW156:DJ156&gt;BU156))</f>
        <v>1.3557724157260424E-2</v>
      </c>
      <c r="DN156" s="2" cm="1">
        <f t="array" aca="1" ref="DN156" ca="1">_FV(EC156,"Fechamento anterior",TRUE)</f>
        <v>31.48</v>
      </c>
      <c r="DO156" s="28">
        <f t="shared" ca="1" si="162"/>
        <v>0.61715167086275546</v>
      </c>
      <c r="DP156" s="15">
        <f t="shared" ca="1" si="190"/>
        <v>31.053202843529441</v>
      </c>
      <c r="DQ156" s="15">
        <f t="shared" ca="1" si="191"/>
        <v>31.90679715647056</v>
      </c>
      <c r="DR156" s="9"/>
      <c r="DS156" s="9"/>
      <c r="DT156" s="9"/>
      <c r="DU156" s="89">
        <v>2.8021234516498381E-2</v>
      </c>
      <c r="DV156" s="89">
        <f t="shared" ca="1" si="163"/>
        <v>2.7115448314520847E-2</v>
      </c>
      <c r="DW156" s="72">
        <f t="shared" ca="1" si="164"/>
        <v>0.53899505679129245</v>
      </c>
      <c r="DX156" s="37"/>
      <c r="DY156" s="35">
        <f t="shared" si="174"/>
        <v>0.64935660464801626</v>
      </c>
      <c r="DZ156" s="56"/>
      <c r="EA156" s="56"/>
      <c r="EC156" s="2" t="e" vm="158">
        <v>#VALUE!</v>
      </c>
      <c r="EE156" s="10" cm="1">
        <f t="array" aca="1" ref="EE156" ca="1">_FV(EC156,"Ações em circulação",TRUE)</f>
        <v>3226547000</v>
      </c>
      <c r="EF156" s="18">
        <f>VLOOKUP(BP156,Fundamentus!A:U,5,FALSE)</f>
        <v>1.766</v>
      </c>
      <c r="EG156" s="2">
        <f t="shared" ca="1" si="165"/>
        <v>57697822344.280861</v>
      </c>
      <c r="EH156" s="17">
        <v>5821710274.5379391</v>
      </c>
      <c r="EI156" s="17">
        <f t="shared" ca="1" si="166"/>
        <v>5821710274.5379391</v>
      </c>
      <c r="EK156" s="16">
        <f t="shared" ca="1" si="153"/>
        <v>0</v>
      </c>
      <c r="EL156" s="32" t="str">
        <f>IF(VLOOKUP(BP156,Fundamentus!A:U,3,FALSE)&lt;15,"Bom",IF(VLOOKUP(BP156,Fundamentus!A:U,3,FALSE)&gt;15,"Ruim","n/a"))</f>
        <v>Ruim</v>
      </c>
      <c r="EM156" s="28" t="str">
        <f>IF(VLOOKUP(BP156,Fundamentus!A:U,4,FALSE)&lt;1,"Baixo",IF(VLOOKUP(BP156,Fundamentus!A:U,4,FALSE)&lt;1.5,"Moderado",IF(VLOOKUP(BP156,Fundamentus!A:U,4,FALSE)&gt;1.5,"Alto","n/a")))</f>
        <v>Moderado</v>
      </c>
      <c r="EN156" s="17" t="str">
        <f>IF(VLOOKUP(BP156,Fundamentus!A:U,8,FALSE)&lt;0,"Risco elevado",IF(VLOOKUP(BP156,Fundamentus!A:U,8,FALSE)&lt;1,"Saudável",IF(VLOOKUP(BP156,Fundamentus!A:U,8,FALSE)&lt;3,"Estável",IF(VLOOKUP(BP156,Fundamentus!A:U,8,FALSE)&gt;3,"Alerta","n/a"))))</f>
        <v>Risco elevado</v>
      </c>
      <c r="EO156" s="28" t="str">
        <f t="shared" si="167"/>
        <v>Bom</v>
      </c>
      <c r="EP156" s="17" t="str">
        <f>IF(VLOOKUP(BP156,Fundamentus!A:U,12,FALSE)&lt;2,"Subvalorizada",IF(VLOOKUP(BP156,Fundamentus!A:U,12,FALSE)&lt;6,"Muita barata",IF(VLOOKUP(BP156,Fundamentus!A:U,12,FALSE)&lt;6,"Barata",IF(VLOOKUP(BP156,Fundamentus!A:U,12,FALSE)&lt;8,"Atrativa",IF(VLOOKUP(BP156,Fundamentus!A:U,12,FALSE)&gt;8,"Supervalorizada","n/a")))))</f>
        <v>Muita barata</v>
      </c>
      <c r="ER156" s="17" t="str">
        <f>IF(VLOOKUP(BP156,Fundamentus!A:U,17,FALSE)&lt;0.1,"Fraco retorno",IF(VLOOKUP(BP156,Fundamentus!A:U,17,FALSE)&gt;0.1,"Bom retorno","n/a"))</f>
        <v>Fraco retorno</v>
      </c>
      <c r="ES156" s="17" t="str">
        <f>IF(VLOOKUP(BP156,Fundamentus!A:U,16,FALSE)&lt;0.1,"Ineficiente",IF(VLOOKUP(BP156,Fundamentus!A:U,16,FALSE)&gt;0.1,"Eficiente","n/a"))</f>
        <v>Ineficiente</v>
      </c>
      <c r="ET156" s="33" t="str">
        <f>IF(VLOOKUP(BP156,Fundamentus!A:U,16,FALSE)&lt;0.1,"Oper. Ineficiente",IF(VLOOKUP(BP156,Fundamentus!A:U,16,FALSE)&gt;0.1,"Oper.Eficiente","n/a"))</f>
        <v>Oper. Ineficiente</v>
      </c>
      <c r="EU156" s="34">
        <f>VLOOKUP(BP156,Fundamentus!A:U,14,FALSE)</f>
        <v>0.1009</v>
      </c>
      <c r="EV156" s="17" t="str">
        <f>IF(VLOOKUP(BP156,Fundamentus!A:U,21,FALSE)&lt;0,"Negativo",IF(VLOOKUP(BP156,Fundamentus!A:U,21,FALSE)&lt;0.05,"Fraco",IF(VLOOKUP(BP156,Fundamentus!A:U,21,FALSE)&lt;0.1,"Bom",IF(VLOOKUP(BP156,Fundamentus!A:U,21,FALSE)&gt;0.1,"Muito bom","n/a"))))</f>
        <v>Bom</v>
      </c>
      <c r="EX156" s="29" t="str">
        <f>IF(VLOOKUP(BP156,Fundamentus!A:U,15,FALSE)&gt;1,"Bom",IF(VLOOKUP(BP156,Fundamentus!A:U,15,FALSE)&lt;1,"Ruim","n/a"))</f>
        <v>Ruim</v>
      </c>
      <c r="EY156" s="17" t="str">
        <f>IF(VLOOKUP(BP156,Fundamentus!A:U,20,FALSE)&lt;0.5,"Baixa",IF(VLOOKUP(BP156,Fundamentus!A:U,20,FALSE)&lt;1,"Moderada",IF(VLOOKUP(BP156,Fundamentus!A:U,20,FALSE)&lt;2,"Alerta",IF(VLOOKUP(BP156,Fundamentus!A:U,20,FALSE)&gt;2,"Alta","n/a"))))</f>
        <v>Baixa</v>
      </c>
      <c r="EZ156" s="10"/>
    </row>
    <row r="157" spans="1:156" s="2" customFormat="1" ht="11.25" x14ac:dyDescent="0.2">
      <c r="A157" s="4">
        <v>2.62</v>
      </c>
      <c r="B157" s="4">
        <v>2.5299999999999998</v>
      </c>
      <c r="C157" s="4">
        <v>2.54</v>
      </c>
      <c r="D157" s="4">
        <v>2.46</v>
      </c>
      <c r="E157" s="4">
        <v>2.2999999999999998</v>
      </c>
      <c r="F157" s="4">
        <v>2.36</v>
      </c>
      <c r="G157" s="4">
        <v>2.2400000000000002</v>
      </c>
      <c r="H157" s="4">
        <v>2.2999999999999998</v>
      </c>
      <c r="I157" s="4">
        <v>2.5499999999999998</v>
      </c>
      <c r="J157" s="4">
        <v>2.73</v>
      </c>
      <c r="K157" s="4">
        <v>2.78</v>
      </c>
      <c r="L157" s="4">
        <v>2.78</v>
      </c>
      <c r="M157" s="4">
        <v>2.59</v>
      </c>
      <c r="N157" s="4">
        <v>2.59</v>
      </c>
      <c r="O157" s="4">
        <v>3.02</v>
      </c>
      <c r="P157" s="4">
        <v>3.01</v>
      </c>
      <c r="Q157" s="4">
        <v>3.39</v>
      </c>
      <c r="R157" s="4">
        <v>3.08</v>
      </c>
      <c r="S157" s="4">
        <v>3.1</v>
      </c>
      <c r="T157" s="4">
        <v>2.98</v>
      </c>
      <c r="U157" s="4">
        <v>2.67</v>
      </c>
      <c r="V157" s="4">
        <v>2.65</v>
      </c>
      <c r="W157" s="4">
        <v>2.74</v>
      </c>
      <c r="X157" s="4">
        <v>2.7</v>
      </c>
      <c r="Y157" s="4">
        <v>2.79</v>
      </c>
      <c r="Z157" s="4">
        <v>2.82</v>
      </c>
      <c r="AA157" s="4">
        <v>2.83</v>
      </c>
      <c r="AB157" s="4">
        <v>3.14</v>
      </c>
      <c r="AC157" s="4">
        <v>3.13</v>
      </c>
      <c r="AD157" s="4">
        <v>3.3</v>
      </c>
      <c r="AE157" s="4">
        <v>3.41</v>
      </c>
      <c r="AF157" s="4">
        <v>3.1</v>
      </c>
      <c r="AG157" s="4">
        <v>3.09</v>
      </c>
      <c r="AH157" s="4">
        <v>3.18</v>
      </c>
      <c r="AI157" s="4">
        <v>3.11</v>
      </c>
      <c r="AJ157" s="4">
        <v>3.03</v>
      </c>
      <c r="AK157" s="4">
        <v>3.26</v>
      </c>
      <c r="AL157" s="4">
        <v>3.37</v>
      </c>
      <c r="AM157" s="4">
        <v>3.06</v>
      </c>
      <c r="AN157" s="4">
        <v>3.15</v>
      </c>
      <c r="AO157" s="4">
        <v>3.09</v>
      </c>
      <c r="AP157" s="4">
        <v>3.33</v>
      </c>
      <c r="AQ157" s="4">
        <v>3.07</v>
      </c>
      <c r="AR157" s="4">
        <v>2.82</v>
      </c>
      <c r="AS157" s="4">
        <v>3.03</v>
      </c>
      <c r="AT157" s="4">
        <v>3.06</v>
      </c>
      <c r="AU157" s="4">
        <v>3.18</v>
      </c>
      <c r="AV157" s="4">
        <v>3.19</v>
      </c>
      <c r="AW157" s="4">
        <v>3.19</v>
      </c>
      <c r="AX157" s="4">
        <v>3.43</v>
      </c>
      <c r="AY157" s="12">
        <v>3.28</v>
      </c>
      <c r="AZ157" s="12">
        <v>3.38</v>
      </c>
      <c r="BA157" s="12">
        <v>3.3</v>
      </c>
      <c r="BB157" s="15">
        <v>3.47</v>
      </c>
      <c r="BC157" s="52">
        <v>3.33</v>
      </c>
      <c r="BD157" s="52">
        <v>3.32</v>
      </c>
      <c r="BE157" s="52">
        <v>3.48</v>
      </c>
      <c r="BF157" s="52">
        <v>3.43</v>
      </c>
      <c r="BG157" s="67">
        <v>3.34</v>
      </c>
      <c r="BH157" s="52">
        <v>3.43</v>
      </c>
      <c r="BI157" s="52">
        <v>3.43</v>
      </c>
      <c r="BJ157" s="52">
        <v>3.39</v>
      </c>
      <c r="BK157" s="52">
        <v>3.34</v>
      </c>
      <c r="BL157" s="52">
        <v>3.41</v>
      </c>
      <c r="BM157" s="52">
        <v>3.48</v>
      </c>
      <c r="BN157" s="52">
        <v>3.92</v>
      </c>
      <c r="BO157" s="52" cm="1">
        <f t="array" aca="1" ref="BO157" ca="1">_FV(EC157,"Preço")</f>
        <v>3.92</v>
      </c>
      <c r="BP157" s="69" t="s">
        <v>153</v>
      </c>
      <c r="BQ157" s="36" cm="1">
        <f t="array" aca="1" ref="BQ157" ca="1">_FV(EC157,"Média de volume",TRUE)</f>
        <v>1120380</v>
      </c>
      <c r="BR157" s="36">
        <v>1865700</v>
      </c>
      <c r="BS157" s="36" cm="1">
        <f t="array" aca="1" ref="BS157" ca="1">_FV(EC157,"Volume")</f>
        <v>1865700</v>
      </c>
      <c r="BT157" s="24" cm="1">
        <f t="array" aca="1" ref="BT157" ca="1">_FV(EC157,"Beta")</f>
        <v>1.2605999999999999</v>
      </c>
      <c r="BU157" s="71" cm="1">
        <f t="array" aca="1" ref="BU157" ca="1">_FV(EC157,"Variação (%)",TRUE)</f>
        <v>-2.545E-3</v>
      </c>
      <c r="BW157" s="17" cm="1">
        <f t="array" aca="1" ref="BW157" ca="1">_FV(EC157,"Baixo")</f>
        <v>3.84</v>
      </c>
      <c r="BX157" s="17" cm="1">
        <f t="array" aca="1" ref="BX157" ca="1">_FV(EC157,"Alto")</f>
        <v>3.99</v>
      </c>
      <c r="BY157" s="24"/>
      <c r="BZ157" s="63">
        <f ca="1">SQRT(22.5*(BO157/VLOOKUP(BP157,Fundamentus!A:U,3,FALSE))*(BO157/VLOOKUP(BP157,Fundamentus!A:U,4,FALSE)))</f>
        <v>5.2905386905022507</v>
      </c>
      <c r="CB157" s="62">
        <f t="shared" ca="1" si="168"/>
        <v>0</v>
      </c>
      <c r="CC157" s="8"/>
      <c r="CD157" s="61">
        <f t="shared" si="169"/>
        <v>2.2400000000000002</v>
      </c>
      <c r="CE157" s="61">
        <f t="shared" si="170"/>
        <v>3.92</v>
      </c>
      <c r="CF157" s="61">
        <f t="shared" si="171"/>
        <v>3.0393939393939391</v>
      </c>
      <c r="CG157" s="14"/>
      <c r="CH157" s="35">
        <f t="shared" si="154"/>
        <v>3.5683081693938186</v>
      </c>
      <c r="CI157" s="15">
        <f t="shared" si="172"/>
        <v>3.9900000000000091</v>
      </c>
      <c r="CJ157" s="35">
        <f t="shared" si="155"/>
        <v>4.4116918306061992</v>
      </c>
      <c r="CL157" s="14"/>
      <c r="CM157" s="17">
        <f t="shared" si="156"/>
        <v>1.1200000000000001</v>
      </c>
      <c r="CN157" s="17">
        <f t="shared" si="157"/>
        <v>1.6800000000000002</v>
      </c>
      <c r="CO157" s="17">
        <f t="shared" si="158"/>
        <v>2.8</v>
      </c>
      <c r="CP157" s="38">
        <f t="shared" si="173"/>
        <v>3.36</v>
      </c>
      <c r="CQ157" s="17">
        <f t="shared" si="159"/>
        <v>4.4799999999999995</v>
      </c>
      <c r="CR157" s="17">
        <f t="shared" si="160"/>
        <v>5.0399999999999991</v>
      </c>
      <c r="CS157" s="17">
        <f t="shared" si="161"/>
        <v>6.1599999999999993</v>
      </c>
      <c r="CT157" s="2" cm="1">
        <f t="array" aca="1" ref="CT157" ca="1">MAX(_xlfn._xlws.FILTER(CM157:CS157,CM157:CS157&lt;BO157))</f>
        <v>3.36</v>
      </c>
      <c r="CU157" s="2" cm="1">
        <f t="array" aca="1" ref="CU157" ca="1">MIN(_xlfn._xlws.FILTER($CM157:$CS157,$CM157:$CS157&gt;BO157))</f>
        <v>4.4799999999999995</v>
      </c>
      <c r="CV157" s="16">
        <f t="shared" ca="1" si="175"/>
        <v>0.33333333333333326</v>
      </c>
      <c r="CW157" s="20">
        <f t="shared" ca="1" si="176"/>
        <v>-0.16666666666666663</v>
      </c>
      <c r="CX157" s="20">
        <f t="shared" ca="1" si="177"/>
        <v>-0.11111111111111109</v>
      </c>
      <c r="CY157" s="20">
        <f t="shared" ca="1" si="178"/>
        <v>-6.6666666666666652E-2</v>
      </c>
      <c r="CZ157" s="20">
        <f t="shared" ca="1" si="179"/>
        <v>-3.7037037037037028E-2</v>
      </c>
      <c r="DA157" s="20">
        <f t="shared" ca="1" si="180"/>
        <v>-1.9607843137254898E-2</v>
      </c>
      <c r="DB157" s="20">
        <f t="shared" ca="1" si="181"/>
        <v>-1.0101010101010098E-2</v>
      </c>
      <c r="DC157" s="20">
        <f t="shared" ca="1" si="182"/>
        <v>-5.1282051282051273E-3</v>
      </c>
      <c r="DD157" s="21">
        <f t="shared" ca="1" si="183"/>
        <v>5.1282051282051273E-3</v>
      </c>
      <c r="DE157" s="21">
        <f t="shared" ca="1" si="184"/>
        <v>1.0101010101010098E-2</v>
      </c>
      <c r="DF157" s="21">
        <f t="shared" ca="1" si="185"/>
        <v>1.9607843137254898E-2</v>
      </c>
      <c r="DG157" s="21">
        <f t="shared" ca="1" si="186"/>
        <v>3.7037037037037028E-2</v>
      </c>
      <c r="DH157" s="21">
        <f t="shared" ca="1" si="187"/>
        <v>6.6666666666666652E-2</v>
      </c>
      <c r="DI157" s="21">
        <f t="shared" ca="1" si="188"/>
        <v>0.11111111111111109</v>
      </c>
      <c r="DJ157" s="21">
        <f t="shared" ca="1" si="189"/>
        <v>0.16666666666666663</v>
      </c>
      <c r="DL157" s="16" cm="1">
        <f t="array" aca="1" ref="DL157" ca="1">MAX(_xlfn._xlws.FILTER(CW157:DJ157,CW157:DJ157&lt;BU157))</f>
        <v>-5.1282051282051273E-3</v>
      </c>
      <c r="DM157" s="16" cm="1">
        <f t="array" aca="1" ref="DM157" ca="1">MIN(_xlfn._xlws.FILTER(CW157:DJ157,CW157:DJ157&gt;BU157))</f>
        <v>5.1282051282051273E-3</v>
      </c>
      <c r="DN157" s="2" cm="1">
        <f t="array" aca="1" ref="DN157" ca="1">_FV(EC157,"Fechamento anterior",TRUE)</f>
        <v>3.93</v>
      </c>
      <c r="DO157" s="28">
        <f t="shared" ca="1" si="162"/>
        <v>0.25190839694655959</v>
      </c>
      <c r="DP157" s="15">
        <f t="shared" ca="1" si="190"/>
        <v>3.909846153846154</v>
      </c>
      <c r="DQ157" s="15">
        <f t="shared" ca="1" si="191"/>
        <v>3.9501538461538463</v>
      </c>
      <c r="DR157" s="9"/>
      <c r="DS157" s="9"/>
      <c r="DT157" s="9"/>
      <c r="DU157" s="89">
        <v>3.9379386586396439E-3</v>
      </c>
      <c r="DV157" s="89">
        <f t="shared" ca="1" si="163"/>
        <v>1.0256410256410255E-2</v>
      </c>
      <c r="DW157" s="72">
        <f t="shared" ca="1" si="164"/>
        <v>-0.16599799882151559</v>
      </c>
      <c r="DX157" s="37"/>
      <c r="DY157" s="35">
        <f t="shared" si="174"/>
        <v>0.21084591530309518</v>
      </c>
      <c r="DZ157" s="56"/>
      <c r="EA157" s="56"/>
      <c r="EC157" s="2" t="e" vm="159">
        <v>#VALUE!</v>
      </c>
      <c r="EE157" s="10" cm="1">
        <f t="array" aca="1" ref="EE157" ca="1">_FV(EC157,"Ações em circulação",TRUE)</f>
        <v>622672700</v>
      </c>
      <c r="EF157" s="18">
        <f>VLOOKUP(BP157,Fundamentus!A:U,5,FALSE)</f>
        <v>0.16800000000000001</v>
      </c>
      <c r="EG157" s="2">
        <f t="shared" ca="1" si="165"/>
        <v>14529029666.666666</v>
      </c>
      <c r="EH157" s="17">
        <v>161272229.30000001</v>
      </c>
      <c r="EI157" s="17">
        <f t="shared" ca="1" si="166"/>
        <v>161272229.30000001</v>
      </c>
      <c r="EK157" s="16">
        <f t="shared" ca="1" si="153"/>
        <v>0</v>
      </c>
      <c r="EL157" s="32" t="str">
        <f>IF(VLOOKUP(BP157,Fundamentus!A:U,3,FALSE)&lt;15,"Bom",IF(VLOOKUP(BP157,Fundamentus!A:U,3,FALSE)&gt;15,"Ruim","n/a"))</f>
        <v>Ruim</v>
      </c>
      <c r="EM157" s="28" t="str">
        <f>IF(VLOOKUP(BP157,Fundamentus!A:U,4,FALSE)&lt;1,"Baixo",IF(VLOOKUP(BP157,Fundamentus!A:U,4,FALSE)&lt;1.5,"Moderado",IF(VLOOKUP(BP157,Fundamentus!A:U,4,FALSE)&gt;1.5,"Alto","n/a")))</f>
        <v>Baixo</v>
      </c>
      <c r="EN157" s="17" t="str">
        <f>IF(VLOOKUP(BP157,Fundamentus!A:U,8,FALSE)&lt;0,"Risco elevado",IF(VLOOKUP(BP157,Fundamentus!A:U,8,FALSE)&lt;1,"Saudável",IF(VLOOKUP(BP157,Fundamentus!A:U,8,FALSE)&lt;3,"Estável",IF(VLOOKUP(BP157,Fundamentus!A:U,8,FALSE)&gt;3,"Alerta","n/a"))))</f>
        <v>Estável</v>
      </c>
      <c r="EO157" s="28" t="str">
        <f t="shared" si="167"/>
        <v>Ruim</v>
      </c>
      <c r="EP157" s="17" t="str">
        <f>IF(VLOOKUP(BP157,Fundamentus!A:U,12,FALSE)&lt;2,"Subvalorizada",IF(VLOOKUP(BP157,Fundamentus!A:U,12,FALSE)&lt;6,"Muita barata",IF(VLOOKUP(BP157,Fundamentus!A:U,12,FALSE)&lt;6,"Barata",IF(VLOOKUP(BP157,Fundamentus!A:U,12,FALSE)&lt;8,"Atrativa",IF(VLOOKUP(BP157,Fundamentus!A:U,12,FALSE)&gt;8,"Supervalorizada","n/a")))))</f>
        <v>Muita barata</v>
      </c>
      <c r="ER157" s="17" t="str">
        <f>IF(VLOOKUP(BP157,Fundamentus!A:U,17,FALSE)&lt;0.1,"Fraco retorno",IF(VLOOKUP(BP157,Fundamentus!A:U,17,FALSE)&gt;0.1,"Bom retorno","n/a"))</f>
        <v>Fraco retorno</v>
      </c>
      <c r="ES157" s="17" t="str">
        <f>IF(VLOOKUP(BP157,Fundamentus!A:U,16,FALSE)&lt;0.1,"Ineficiente",IF(VLOOKUP(BP157,Fundamentus!A:U,16,FALSE)&gt;0.1,"Eficiente","n/a"))</f>
        <v>Ineficiente</v>
      </c>
      <c r="ET157" s="33" t="str">
        <f>IF(VLOOKUP(BP157,Fundamentus!A:U,16,FALSE)&lt;0.1,"Oper. Ineficiente",IF(VLOOKUP(BP157,Fundamentus!A:U,16,FALSE)&gt;0.1,"Oper.Eficiente","n/a"))</f>
        <v>Oper. Ineficiente</v>
      </c>
      <c r="EU157" s="34">
        <f>VLOOKUP(BP157,Fundamentus!A:U,14,FALSE)</f>
        <v>1.11E-2</v>
      </c>
      <c r="EV157" s="17" t="str">
        <f>IF(VLOOKUP(BP157,Fundamentus!A:U,21,FALSE)&lt;0,"Negativo",IF(VLOOKUP(BP157,Fundamentus!A:U,21,FALSE)&lt;0.05,"Fraco",IF(VLOOKUP(BP157,Fundamentus!A:U,21,FALSE)&lt;0.1,"Bom",IF(VLOOKUP(BP157,Fundamentus!A:U,21,FALSE)&gt;0.1,"Muito bom","n/a"))))</f>
        <v>Muito bom</v>
      </c>
      <c r="EX157" s="29" t="str">
        <f>IF(VLOOKUP(BP157,Fundamentus!A:U,15,FALSE)&gt;1,"Bom",IF(VLOOKUP(BP157,Fundamentus!A:U,15,FALSE)&lt;1,"Ruim","n/a"))</f>
        <v>Bom</v>
      </c>
      <c r="EY157" s="17" t="str">
        <f>IF(VLOOKUP(BP157,Fundamentus!A:U,20,FALSE)&lt;0.5,"Baixa",IF(VLOOKUP(BP157,Fundamentus!A:U,20,FALSE)&lt;1,"Moderada",IF(VLOOKUP(BP157,Fundamentus!A:U,20,FALSE)&lt;2,"Alerta",IF(VLOOKUP(BP157,Fundamentus!A:U,20,FALSE)&gt;2,"Alta","n/a"))))</f>
        <v>Moderada</v>
      </c>
      <c r="EZ157" s="10"/>
    </row>
    <row r="158" spans="1:156" s="2" customFormat="1" ht="11.25" x14ac:dyDescent="0.2">
      <c r="A158" s="4">
        <v>11.7</v>
      </c>
      <c r="B158" s="4">
        <v>11.61</v>
      </c>
      <c r="C158" s="4">
        <v>12.1</v>
      </c>
      <c r="D158" s="4">
        <v>11.75</v>
      </c>
      <c r="E158" s="4">
        <v>11.1</v>
      </c>
      <c r="F158" s="4">
        <v>11.63</v>
      </c>
      <c r="G158" s="4">
        <v>11.65</v>
      </c>
      <c r="H158" s="4">
        <v>10.3</v>
      </c>
      <c r="I158" s="4">
        <v>10.71</v>
      </c>
      <c r="J158" s="4">
        <v>11.4</v>
      </c>
      <c r="K158" s="4">
        <v>11.25</v>
      </c>
      <c r="L158" s="4">
        <v>11.22</v>
      </c>
      <c r="M158" s="4">
        <v>11.38</v>
      </c>
      <c r="N158" s="4">
        <v>11.45</v>
      </c>
      <c r="O158" s="4">
        <v>12.04</v>
      </c>
      <c r="P158" s="4">
        <v>12.39</v>
      </c>
      <c r="Q158" s="4">
        <v>12.3</v>
      </c>
      <c r="R158" s="4">
        <v>11.93</v>
      </c>
      <c r="S158" s="4">
        <v>11.5</v>
      </c>
      <c r="T158" s="4">
        <v>11.6</v>
      </c>
      <c r="U158" s="4">
        <v>11.4</v>
      </c>
      <c r="V158" s="4">
        <v>10.65</v>
      </c>
      <c r="W158" s="4">
        <v>10.56</v>
      </c>
      <c r="X158" s="4">
        <v>10.39</v>
      </c>
      <c r="Y158" s="4">
        <v>10.36</v>
      </c>
      <c r="Z158" s="4">
        <v>10.54</v>
      </c>
      <c r="AA158" s="4">
        <v>9.8000000000000007</v>
      </c>
      <c r="AB158" s="4">
        <v>9.94</v>
      </c>
      <c r="AC158" s="4">
        <v>9.3000000000000007</v>
      </c>
      <c r="AD158" s="4">
        <v>9.4499999999999993</v>
      </c>
      <c r="AE158" s="4">
        <v>9.06</v>
      </c>
      <c r="AF158" s="4">
        <v>9.1</v>
      </c>
      <c r="AG158" s="4">
        <v>9.16</v>
      </c>
      <c r="AH158" s="4">
        <v>8.98</v>
      </c>
      <c r="AI158" s="4">
        <v>8.83</v>
      </c>
      <c r="AJ158" s="4">
        <v>8.6999999999999993</v>
      </c>
      <c r="AK158" s="4">
        <v>8.59</v>
      </c>
      <c r="AL158" s="4">
        <v>8.8800000000000008</v>
      </c>
      <c r="AM158" s="4">
        <v>9</v>
      </c>
      <c r="AN158" s="4">
        <v>9.5</v>
      </c>
      <c r="AO158" s="4">
        <v>9.1999999999999993</v>
      </c>
      <c r="AP158" s="4">
        <v>9.9600000000000009</v>
      </c>
      <c r="AQ158" s="4">
        <v>9.9</v>
      </c>
      <c r="AR158" s="4">
        <v>9.82</v>
      </c>
      <c r="AS158" s="4">
        <v>9.9600000000000009</v>
      </c>
      <c r="AT158" s="4">
        <v>9.92</v>
      </c>
      <c r="AU158" s="4">
        <v>10.54</v>
      </c>
      <c r="AV158" s="4">
        <v>10.89</v>
      </c>
      <c r="AW158" s="4">
        <v>10.85</v>
      </c>
      <c r="AX158" s="4">
        <v>10.87</v>
      </c>
      <c r="AY158" s="12">
        <v>10.53</v>
      </c>
      <c r="AZ158" s="12">
        <v>11.25</v>
      </c>
      <c r="BA158" s="12">
        <v>11.55</v>
      </c>
      <c r="BB158" s="15">
        <v>11.55</v>
      </c>
      <c r="BC158" s="52">
        <v>13.15</v>
      </c>
      <c r="BD158" s="52">
        <v>13.92</v>
      </c>
      <c r="BE158" s="52">
        <v>14.49</v>
      </c>
      <c r="BF158" s="52">
        <v>14.64</v>
      </c>
      <c r="BG158" s="67">
        <v>14.98</v>
      </c>
      <c r="BH158" s="52">
        <v>14.36</v>
      </c>
      <c r="BI158" s="52">
        <v>14.55</v>
      </c>
      <c r="BJ158" s="52">
        <v>15.08</v>
      </c>
      <c r="BK158" s="52">
        <v>14.42</v>
      </c>
      <c r="BL158" s="52">
        <v>14.33</v>
      </c>
      <c r="BM158" s="52">
        <v>14.29</v>
      </c>
      <c r="BN158" s="52">
        <v>14.6</v>
      </c>
      <c r="BO158" s="52" cm="1">
        <f t="array" aca="1" ref="BO158" ca="1">_FV(EC158,"Preço")</f>
        <v>14.6</v>
      </c>
      <c r="BP158" s="70" t="s">
        <v>154</v>
      </c>
      <c r="BQ158" s="36" cm="1">
        <f t="array" aca="1" ref="BQ158" ca="1">_FV(EC158,"Média de volume",TRUE)</f>
        <v>388910</v>
      </c>
      <c r="BR158" s="36">
        <v>325200</v>
      </c>
      <c r="BS158" s="36" cm="1">
        <f t="array" aca="1" ref="BS158" ca="1">_FV(EC158,"Volume")</f>
        <v>325200</v>
      </c>
      <c r="BT158" s="24" cm="1">
        <f t="array" aca="1" ref="BT158" ca="1">_FV(EC158,"Beta")</f>
        <v>1.0846</v>
      </c>
      <c r="BU158" s="71" cm="1">
        <f t="array" aca="1" ref="BU158" ca="1">_FV(EC158,"Variação (%)",TRUE)</f>
        <v>3.4360000000000003E-3</v>
      </c>
      <c r="BW158" s="17" cm="1">
        <f t="array" aca="1" ref="BW158" ca="1">_FV(EC158,"Baixo")</f>
        <v>14.51</v>
      </c>
      <c r="BX158" s="17" cm="1">
        <f t="array" aca="1" ref="BX158" ca="1">_FV(EC158,"Alto")</f>
        <v>14.92</v>
      </c>
      <c r="BY158" s="24"/>
      <c r="BZ158" s="63">
        <f ca="1">SQRT(22.5*(BO158/VLOOKUP(BP158,Fundamentus!A:U,3,FALSE))*(BO158/VLOOKUP(BP158,Fundamentus!A:U,4,FALSE)))</f>
        <v>7.8603757700492158</v>
      </c>
      <c r="CB158" s="62">
        <f t="shared" ca="1" si="168"/>
        <v>0</v>
      </c>
      <c r="CC158" s="8"/>
      <c r="CD158" s="61">
        <f t="shared" si="169"/>
        <v>8.59</v>
      </c>
      <c r="CE158" s="61">
        <f t="shared" si="170"/>
        <v>15.08</v>
      </c>
      <c r="CF158" s="61">
        <f t="shared" si="171"/>
        <v>11.254545454545452</v>
      </c>
      <c r="CG158" s="14"/>
      <c r="CH158" s="35">
        <f t="shared" si="154"/>
        <v>13.958028596895851</v>
      </c>
      <c r="CI158" s="15">
        <f t="shared" si="172"/>
        <v>14.535000000000025</v>
      </c>
      <c r="CJ158" s="35">
        <f t="shared" si="155"/>
        <v>15.111971403104199</v>
      </c>
      <c r="CL158" s="14"/>
      <c r="CM158" s="17">
        <f t="shared" si="156"/>
        <v>3.9433333333333351</v>
      </c>
      <c r="CN158" s="17">
        <f t="shared" si="157"/>
        <v>6.2666666666666675</v>
      </c>
      <c r="CO158" s="17">
        <f t="shared" si="158"/>
        <v>10.433333333333335</v>
      </c>
      <c r="CP158" s="38">
        <f t="shared" si="173"/>
        <v>12.756666666666668</v>
      </c>
      <c r="CQ158" s="17">
        <f t="shared" si="159"/>
        <v>16.923333333333336</v>
      </c>
      <c r="CR158" s="17">
        <f t="shared" si="160"/>
        <v>19.24666666666667</v>
      </c>
      <c r="CS158" s="17">
        <f t="shared" si="161"/>
        <v>23.413333333333334</v>
      </c>
      <c r="CT158" s="2" cm="1">
        <f t="array" aca="1" ref="CT158" ca="1">MAX(_xlfn._xlws.FILTER(CM158:CS158,CM158:CS158&lt;BO158))</f>
        <v>12.756666666666668</v>
      </c>
      <c r="CU158" s="2" cm="1">
        <f t="array" aca="1" ref="CU158" ca="1">MIN(_xlfn._xlws.FILTER($CM158:$CS158,$CM158:$CS158&gt;BO158))</f>
        <v>16.923333333333336</v>
      </c>
      <c r="CV158" s="16">
        <f t="shared" ca="1" si="175"/>
        <v>0.32662660047034242</v>
      </c>
      <c r="CW158" s="20">
        <f t="shared" ca="1" si="176"/>
        <v>-0.16331330023517121</v>
      </c>
      <c r="CX158" s="20">
        <f t="shared" ca="1" si="177"/>
        <v>-0.10887553349011414</v>
      </c>
      <c r="CY158" s="20">
        <f t="shared" ca="1" si="178"/>
        <v>-6.5325320094068481E-2</v>
      </c>
      <c r="CZ158" s="20">
        <f t="shared" ca="1" si="179"/>
        <v>-3.6291844496704716E-2</v>
      </c>
      <c r="DA158" s="20">
        <f t="shared" ca="1" si="180"/>
        <v>-1.9213329439431909E-2</v>
      </c>
      <c r="DB158" s="20">
        <f t="shared" ca="1" si="181"/>
        <v>-9.8977757718285587E-3</v>
      </c>
      <c r="DC158" s="20">
        <f t="shared" ca="1" si="182"/>
        <v>-5.0250246226206524E-3</v>
      </c>
      <c r="DD158" s="21">
        <f t="shared" ca="1" si="183"/>
        <v>5.0250246226206524E-3</v>
      </c>
      <c r="DE158" s="21">
        <f t="shared" ca="1" si="184"/>
        <v>9.8977757718285587E-3</v>
      </c>
      <c r="DF158" s="21">
        <f t="shared" ca="1" si="185"/>
        <v>1.9213329439431909E-2</v>
      </c>
      <c r="DG158" s="21">
        <f t="shared" ca="1" si="186"/>
        <v>3.6291844496704716E-2</v>
      </c>
      <c r="DH158" s="21">
        <f t="shared" ca="1" si="187"/>
        <v>6.5325320094068481E-2</v>
      </c>
      <c r="DI158" s="21">
        <f t="shared" ca="1" si="188"/>
        <v>0.10887553349011414</v>
      </c>
      <c r="DJ158" s="21">
        <f t="shared" ca="1" si="189"/>
        <v>0.16331330023517121</v>
      </c>
      <c r="DL158" s="16" cm="1">
        <f t="array" aca="1" ref="DL158" ca="1">MAX(_xlfn._xlws.FILTER(CW158:DJ158,CW158:DJ158&lt;BU158))</f>
        <v>-5.0250246226206524E-3</v>
      </c>
      <c r="DM158" s="16" cm="1">
        <f t="array" aca="1" ref="DM158" ca="1">MIN(_xlfn._xlws.FILTER(CW158:DJ158,CW158:DJ158&gt;BU158))</f>
        <v>5.0250246226206524E-3</v>
      </c>
      <c r="DN158" s="2" cm="1">
        <f t="array" aca="1" ref="DN158" ca="1">_FV(EC158,"Fechamento anterior",TRUE)</f>
        <v>14.55</v>
      </c>
      <c r="DO158" s="28">
        <f t="shared" ca="1" si="162"/>
        <v>0.84193127147765812</v>
      </c>
      <c r="DP158" s="15">
        <f t="shared" ca="1" si="190"/>
        <v>14.476885891740871</v>
      </c>
      <c r="DQ158" s="15">
        <f t="shared" ca="1" si="191"/>
        <v>14.623114108259131</v>
      </c>
      <c r="DR158" s="9"/>
      <c r="DS158" s="9"/>
      <c r="DT158" s="9"/>
      <c r="DU158" s="89">
        <v>9.9028340080971663E-3</v>
      </c>
      <c r="DV158" s="89">
        <f t="shared" ca="1" si="163"/>
        <v>1.0050049245241305E-2</v>
      </c>
      <c r="DW158" s="72">
        <f t="shared" ca="1" si="164"/>
        <v>0.11265722989088704</v>
      </c>
      <c r="DX158" s="37"/>
      <c r="DY158" s="35">
        <f t="shared" si="174"/>
        <v>0.28848570155208747</v>
      </c>
      <c r="DZ158" s="56"/>
      <c r="EA158" s="56"/>
      <c r="EC158" s="2" t="e" vm="160">
        <v>#VALUE!</v>
      </c>
      <c r="EE158" s="10" cm="1">
        <f t="array" aca="1" ref="EE158" ca="1">_FV(EC158,"Ações em circulação",TRUE)</f>
        <v>65492860</v>
      </c>
      <c r="EF158" s="18">
        <f>VLOOKUP(BP158,Fundamentus!A:U,5,FALSE)</f>
        <v>2.4660000000000002</v>
      </c>
      <c r="EG158" s="2">
        <f t="shared" ca="1" si="165"/>
        <v>387751725.87185723</v>
      </c>
      <c r="EH158" s="17">
        <v>55448496.799675576</v>
      </c>
      <c r="EI158" s="17">
        <f t="shared" ca="1" si="166"/>
        <v>55448496.799675576</v>
      </c>
      <c r="EK158" s="16">
        <f t="shared" ca="1" si="153"/>
        <v>0</v>
      </c>
      <c r="EL158" s="32" t="str">
        <f>IF(VLOOKUP(BP158,Fundamentus!A:U,3,FALSE)&lt;15,"Bom",IF(VLOOKUP(BP158,Fundamentus!A:U,3,FALSE)&gt;15,"Ruim","n/a"))</f>
        <v>Ruim</v>
      </c>
      <c r="EM158" s="28" t="str">
        <f>IF(VLOOKUP(BP158,Fundamentus!A:U,4,FALSE)&lt;1,"Baixo",IF(VLOOKUP(BP158,Fundamentus!A:U,4,FALSE)&lt;1.5,"Moderado",IF(VLOOKUP(BP158,Fundamentus!A:U,4,FALSE)&gt;1.5,"Alto","n/a")))</f>
        <v>Alto</v>
      </c>
      <c r="EN158" s="17" t="str">
        <f>IF(VLOOKUP(BP158,Fundamentus!A:U,8,FALSE)&lt;0,"Risco elevado",IF(VLOOKUP(BP158,Fundamentus!A:U,8,FALSE)&lt;1,"Saudável",IF(VLOOKUP(BP158,Fundamentus!A:U,8,FALSE)&lt;3,"Estável",IF(VLOOKUP(BP158,Fundamentus!A:U,8,FALSE)&gt;3,"Alerta","n/a"))))</f>
        <v>Alerta</v>
      </c>
      <c r="EO158" s="28" t="str">
        <f t="shared" si="167"/>
        <v>Bom</v>
      </c>
      <c r="EP158" s="17" t="str">
        <f>IF(VLOOKUP(BP158,Fundamentus!A:U,12,FALSE)&lt;2,"Subvalorizada",IF(VLOOKUP(BP158,Fundamentus!A:U,12,FALSE)&lt;6,"Muita barata",IF(VLOOKUP(BP158,Fundamentus!A:U,12,FALSE)&lt;6,"Barata",IF(VLOOKUP(BP158,Fundamentus!A:U,12,FALSE)&lt;8,"Atrativa",IF(VLOOKUP(BP158,Fundamentus!A:U,12,FALSE)&gt;8,"Supervalorizada","n/a")))))</f>
        <v>Supervalorizada</v>
      </c>
      <c r="ER158" s="17" t="str">
        <f>IF(VLOOKUP(BP158,Fundamentus!A:U,17,FALSE)&lt;0.1,"Fraco retorno",IF(VLOOKUP(BP158,Fundamentus!A:U,17,FALSE)&gt;0.1,"Bom retorno","n/a"))</f>
        <v>Bom retorno</v>
      </c>
      <c r="ES158" s="17" t="str">
        <f>IF(VLOOKUP(BP158,Fundamentus!A:U,16,FALSE)&lt;0.1,"Ineficiente",IF(VLOOKUP(BP158,Fundamentus!A:U,16,FALSE)&gt;0.1,"Eficiente","n/a"))</f>
        <v>Eficiente</v>
      </c>
      <c r="ET158" s="33" t="str">
        <f>IF(VLOOKUP(BP158,Fundamentus!A:U,16,FALSE)&lt;0.1,"Oper. Ineficiente",IF(VLOOKUP(BP158,Fundamentus!A:U,16,FALSE)&gt;0.1,"Oper.Eficiente","n/a"))</f>
        <v>Oper.Eficiente</v>
      </c>
      <c r="EU158" s="34">
        <f>VLOOKUP(BP158,Fundamentus!A:U,14,FALSE)</f>
        <v>0.14299999999999999</v>
      </c>
      <c r="EV158" s="17" t="str">
        <f>IF(VLOOKUP(BP158,Fundamentus!A:U,21,FALSE)&lt;0,"Negativo",IF(VLOOKUP(BP158,Fundamentus!A:U,21,FALSE)&lt;0.05,"Fraco",IF(VLOOKUP(BP158,Fundamentus!A:U,21,FALSE)&lt;0.1,"Bom",IF(VLOOKUP(BP158,Fundamentus!A:U,21,FALSE)&gt;0.1,"Muito bom","n/a"))))</f>
        <v>Muito bom</v>
      </c>
      <c r="EX158" s="29" t="str">
        <f>IF(VLOOKUP(BP158,Fundamentus!A:U,15,FALSE)&gt;1,"Bom",IF(VLOOKUP(BP158,Fundamentus!A:U,15,FALSE)&lt;1,"Ruim","n/a"))</f>
        <v>Bom</v>
      </c>
      <c r="EY158" s="17" t="str">
        <f>IF(VLOOKUP(BP158,Fundamentus!A:U,20,FALSE)&lt;0.5,"Baixa",IF(VLOOKUP(BP158,Fundamentus!A:U,20,FALSE)&lt;1,"Moderada",IF(VLOOKUP(BP158,Fundamentus!A:U,20,FALSE)&lt;2,"Alerta",IF(VLOOKUP(BP158,Fundamentus!A:U,20,FALSE)&gt;2,"Alta","n/a"))))</f>
        <v>Baixa</v>
      </c>
      <c r="EZ158" s="10"/>
    </row>
    <row r="159" spans="1:156" s="2" customFormat="1" ht="11.25" x14ac:dyDescent="0.2">
      <c r="A159" s="4">
        <v>12.76</v>
      </c>
      <c r="B159" s="4">
        <v>12.58</v>
      </c>
      <c r="C159" s="4">
        <v>12.75</v>
      </c>
      <c r="D159" s="4">
        <v>12.73</v>
      </c>
      <c r="E159" s="4">
        <v>12.44</v>
      </c>
      <c r="F159" s="4">
        <v>12.7</v>
      </c>
      <c r="G159" s="4">
        <v>12.5</v>
      </c>
      <c r="H159" s="4">
        <v>12.43</v>
      </c>
      <c r="I159" s="4">
        <v>12.63</v>
      </c>
      <c r="J159" s="4">
        <v>13.14</v>
      </c>
      <c r="K159" s="4">
        <v>13.39</v>
      </c>
      <c r="L159" s="4">
        <v>12.56</v>
      </c>
      <c r="M159" s="4">
        <v>12.86</v>
      </c>
      <c r="N159" s="4">
        <v>12.56</v>
      </c>
      <c r="O159" s="4">
        <v>13.16</v>
      </c>
      <c r="P159" s="4">
        <v>13.61</v>
      </c>
      <c r="Q159" s="4">
        <v>13.72</v>
      </c>
      <c r="R159" s="4">
        <v>13.13</v>
      </c>
      <c r="S159" s="4">
        <v>13.86</v>
      </c>
      <c r="T159" s="4">
        <v>14.07</v>
      </c>
      <c r="U159" s="4">
        <v>14</v>
      </c>
      <c r="V159" s="4">
        <v>14.01</v>
      </c>
      <c r="W159" s="4">
        <v>14.1</v>
      </c>
      <c r="X159" s="4">
        <v>13.93</v>
      </c>
      <c r="Y159" s="4">
        <v>13.95</v>
      </c>
      <c r="Z159" s="4">
        <v>13.38</v>
      </c>
      <c r="AA159" s="4">
        <v>12.66</v>
      </c>
      <c r="AB159" s="4">
        <v>12.29</v>
      </c>
      <c r="AC159" s="4">
        <v>12</v>
      </c>
      <c r="AD159" s="4">
        <v>11.97</v>
      </c>
      <c r="AE159" s="4">
        <v>11.5</v>
      </c>
      <c r="AF159" s="4">
        <v>11.54</v>
      </c>
      <c r="AG159" s="4">
        <v>11.49</v>
      </c>
      <c r="AH159" s="4">
        <v>10.76</v>
      </c>
      <c r="AI159" s="4">
        <v>10.54</v>
      </c>
      <c r="AJ159" s="4">
        <v>10.07</v>
      </c>
      <c r="AK159" s="4">
        <v>10.69</v>
      </c>
      <c r="AL159" s="4">
        <v>10.83</v>
      </c>
      <c r="AM159" s="4">
        <v>10.81</v>
      </c>
      <c r="AN159" s="4">
        <v>11.8</v>
      </c>
      <c r="AO159" s="4">
        <v>11.65</v>
      </c>
      <c r="AP159" s="4">
        <v>12.24</v>
      </c>
      <c r="AQ159" s="4">
        <v>12.16</v>
      </c>
      <c r="AR159" s="4">
        <v>11.78</v>
      </c>
      <c r="AS159" s="4">
        <v>12.13</v>
      </c>
      <c r="AT159" s="4">
        <v>12.59</v>
      </c>
      <c r="AU159" s="4">
        <v>12.24</v>
      </c>
      <c r="AV159" s="4">
        <v>11.9</v>
      </c>
      <c r="AW159" s="4">
        <v>11.92</v>
      </c>
      <c r="AX159" s="4">
        <v>12.44</v>
      </c>
      <c r="AY159" s="12">
        <v>12.47</v>
      </c>
      <c r="AZ159" s="12">
        <v>13.27</v>
      </c>
      <c r="BA159" s="12">
        <v>13.51</v>
      </c>
      <c r="BB159" s="15">
        <v>14.08</v>
      </c>
      <c r="BC159" s="52">
        <v>14.5</v>
      </c>
      <c r="BD159" s="52">
        <v>14.17</v>
      </c>
      <c r="BE159" s="52">
        <v>13.97</v>
      </c>
      <c r="BF159" s="52">
        <v>13.85</v>
      </c>
      <c r="BG159" s="67">
        <v>13.57</v>
      </c>
      <c r="BH159" s="52">
        <v>13.75</v>
      </c>
      <c r="BI159" s="52">
        <v>13.51</v>
      </c>
      <c r="BJ159" s="52">
        <v>13.9</v>
      </c>
      <c r="BK159" s="52">
        <v>13.28</v>
      </c>
      <c r="BL159" s="52">
        <v>13.69</v>
      </c>
      <c r="BM159" s="52">
        <v>13.67</v>
      </c>
      <c r="BN159" s="52">
        <v>13.53</v>
      </c>
      <c r="BO159" s="52" cm="1">
        <f t="array" aca="1" ref="BO159" ca="1">_FV(EC159,"Preço")</f>
        <v>13.53</v>
      </c>
      <c r="BP159" s="69" t="s">
        <v>155</v>
      </c>
      <c r="BQ159" s="36" cm="1">
        <f t="array" aca="1" ref="BQ159" ca="1">_FV(EC159,"Média de volume",TRUE)</f>
        <v>5550190</v>
      </c>
      <c r="BR159" s="36">
        <v>3873000</v>
      </c>
      <c r="BS159" s="36" cm="1">
        <f t="array" aca="1" ref="BS159" ca="1">_FV(EC159,"Volume")</f>
        <v>3873000</v>
      </c>
      <c r="BT159" s="24" cm="1">
        <f t="array" aca="1" ref="BT159" ca="1">_FV(EC159,"Beta")</f>
        <v>0.86119999999999997</v>
      </c>
      <c r="BU159" s="71" cm="1">
        <f t="array" aca="1" ref="BU159" ca="1">_FV(EC159,"Variação (%)",TRUE)</f>
        <v>5.9480000000000002E-3</v>
      </c>
      <c r="BW159" s="17" cm="1">
        <f t="array" aca="1" ref="BW159" ca="1">_FV(EC159,"Baixo")</f>
        <v>13.51</v>
      </c>
      <c r="BX159" s="17" cm="1">
        <f t="array" aca="1" ref="BX159" ca="1">_FV(EC159,"Alto")</f>
        <v>13.9</v>
      </c>
      <c r="BY159" s="24"/>
      <c r="BZ159" s="63">
        <f ca="1">SQRT(22.5*(BO159/VLOOKUP(BP159,Fundamentus!A:U,3,FALSE))*(BO159/VLOOKUP(BP159,Fundamentus!A:U,4,FALSE)))</f>
        <v>7.2221821232712564</v>
      </c>
      <c r="CB159" s="62">
        <f t="shared" ca="1" si="168"/>
        <v>0</v>
      </c>
      <c r="CC159" s="8"/>
      <c r="CD159" s="61">
        <f t="shared" si="169"/>
        <v>10.07</v>
      </c>
      <c r="CE159" s="61">
        <f t="shared" si="170"/>
        <v>14.5</v>
      </c>
      <c r="CF159" s="61">
        <f t="shared" si="171"/>
        <v>12.752575757575759</v>
      </c>
      <c r="CG159" s="14"/>
      <c r="CH159" s="35">
        <f t="shared" si="154"/>
        <v>13.315786119492531</v>
      </c>
      <c r="CI159" s="15">
        <f t="shared" si="172"/>
        <v>13.725000000000023</v>
      </c>
      <c r="CJ159" s="35">
        <f t="shared" si="155"/>
        <v>14.134213880507515</v>
      </c>
      <c r="CL159" s="14"/>
      <c r="CM159" s="17">
        <f t="shared" si="156"/>
        <v>6.4700000000000024</v>
      </c>
      <c r="CN159" s="17">
        <f t="shared" si="157"/>
        <v>8.2700000000000014</v>
      </c>
      <c r="CO159" s="17">
        <f t="shared" si="158"/>
        <v>10.900000000000002</v>
      </c>
      <c r="CP159" s="38">
        <f t="shared" si="173"/>
        <v>12.700000000000001</v>
      </c>
      <c r="CQ159" s="17">
        <f t="shared" si="159"/>
        <v>15.330000000000002</v>
      </c>
      <c r="CR159" s="17">
        <f t="shared" si="160"/>
        <v>17.130000000000003</v>
      </c>
      <c r="CS159" s="17">
        <f t="shared" si="161"/>
        <v>19.760000000000002</v>
      </c>
      <c r="CT159" s="2" cm="1">
        <f t="array" aca="1" ref="CT159" ca="1">MAX(_xlfn._xlws.FILTER(CM159:CS159,CM159:CS159&lt;BO159))</f>
        <v>12.700000000000001</v>
      </c>
      <c r="CU159" s="2" cm="1">
        <f t="array" aca="1" ref="CU159" ca="1">MIN(_xlfn._xlws.FILTER($CM159:$CS159,$CM159:$CS159&gt;BO159))</f>
        <v>15.330000000000002</v>
      </c>
      <c r="CV159" s="16">
        <f t="shared" ca="1" si="175"/>
        <v>0.20708661417322838</v>
      </c>
      <c r="CW159" s="20">
        <f t="shared" ca="1" si="176"/>
        <v>-0.10354330708661419</v>
      </c>
      <c r="CX159" s="20">
        <f t="shared" ca="1" si="177"/>
        <v>-6.9028871391076121E-2</v>
      </c>
      <c r="CY159" s="20">
        <f t="shared" ca="1" si="178"/>
        <v>-4.1417322834645678E-2</v>
      </c>
      <c r="CZ159" s="20">
        <f t="shared" ca="1" si="179"/>
        <v>-2.3009623797025376E-2</v>
      </c>
      <c r="DA159" s="20">
        <f t="shared" ca="1" si="180"/>
        <v>-1.2181565539601669E-2</v>
      </c>
      <c r="DB159" s="20">
        <f t="shared" ca="1" si="181"/>
        <v>-6.2753519446432839E-3</v>
      </c>
      <c r="DC159" s="20">
        <f t="shared" ca="1" si="182"/>
        <v>-3.1859479103573595E-3</v>
      </c>
      <c r="DD159" s="21">
        <f t="shared" ca="1" si="183"/>
        <v>3.1859479103573595E-3</v>
      </c>
      <c r="DE159" s="21">
        <f t="shared" ca="1" si="184"/>
        <v>6.2753519446432839E-3</v>
      </c>
      <c r="DF159" s="21">
        <f t="shared" ca="1" si="185"/>
        <v>1.2181565539601669E-2</v>
      </c>
      <c r="DG159" s="21">
        <f t="shared" ca="1" si="186"/>
        <v>2.3009623797025376E-2</v>
      </c>
      <c r="DH159" s="21">
        <f t="shared" ca="1" si="187"/>
        <v>4.1417322834645678E-2</v>
      </c>
      <c r="DI159" s="21">
        <f t="shared" ca="1" si="188"/>
        <v>6.9028871391076121E-2</v>
      </c>
      <c r="DJ159" s="21">
        <f t="shared" ca="1" si="189"/>
        <v>0.10354330708661419</v>
      </c>
      <c r="DL159" s="16" cm="1">
        <f t="array" aca="1" ref="DL159" ca="1">MAX(_xlfn._xlws.FILTER(CW159:DJ159,CW159:DJ159&lt;BU159))</f>
        <v>3.1859479103573595E-3</v>
      </c>
      <c r="DM159" s="16" cm="1">
        <f t="array" aca="1" ref="DM159" ca="1">MIN(_xlfn._xlws.FILTER(CW159:DJ159,CW159:DJ159&gt;BU159))</f>
        <v>6.2753519446432839E-3</v>
      </c>
      <c r="DN159" s="2" cm="1">
        <f t="array" aca="1" ref="DN159" ca="1">_FV(EC159,"Fechamento anterior",TRUE)</f>
        <v>13.45</v>
      </c>
      <c r="DO159" s="28">
        <f t="shared" ca="1" si="162"/>
        <v>0.89402598343393602</v>
      </c>
      <c r="DP159" s="15">
        <f t="shared" ca="1" si="190"/>
        <v>13.492850999394307</v>
      </c>
      <c r="DQ159" s="15">
        <f t="shared" ca="1" si="191"/>
        <v>13.534403483655451</v>
      </c>
      <c r="DR159" s="9"/>
      <c r="DS159" s="9"/>
      <c r="DT159" s="9"/>
      <c r="DU159" s="89">
        <v>1.1001438386820137E-2</v>
      </c>
      <c r="DV159" s="89">
        <f t="shared" ca="1" si="163"/>
        <v>3.0894040342859244E-3</v>
      </c>
      <c r="DW159" s="72">
        <f t="shared" ca="1" si="164"/>
        <v>-0.47652342525183045</v>
      </c>
      <c r="DX159" s="37"/>
      <c r="DY159" s="35">
        <f t="shared" si="174"/>
        <v>0.20460694025374637</v>
      </c>
      <c r="DZ159" s="56"/>
      <c r="EA159" s="56"/>
      <c r="EC159" s="2" t="e" vm="161">
        <v>#VALUE!</v>
      </c>
      <c r="EE159" s="10" cm="1">
        <f t="array" aca="1" ref="EE159" ca="1">_FV(EC159,"Ações em circulação",TRUE)</f>
        <v>1932592000</v>
      </c>
      <c r="EF159" s="18">
        <f>VLOOKUP(BP159,Fundamentus!A:U,5,FALSE)</f>
        <v>1.9630000000000001</v>
      </c>
      <c r="EG159" s="2">
        <f t="shared" ca="1" si="165"/>
        <v>13320412511.462048</v>
      </c>
      <c r="EH159" s="17">
        <v>917776422.03973508</v>
      </c>
      <c r="EI159" s="17">
        <f t="shared" ca="1" si="166"/>
        <v>917776422.03973508</v>
      </c>
      <c r="EK159" s="16">
        <f t="shared" ca="1" si="153"/>
        <v>0</v>
      </c>
      <c r="EL159" s="32" t="str">
        <f>IF(VLOOKUP(BP159,Fundamentus!A:U,3,FALSE)&lt;15,"Bom",IF(VLOOKUP(BP159,Fundamentus!A:U,3,FALSE)&gt;15,"Ruim","n/a"))</f>
        <v>Ruim</v>
      </c>
      <c r="EM159" s="28" t="str">
        <f>IF(VLOOKUP(BP159,Fundamentus!A:U,4,FALSE)&lt;1,"Baixo",IF(VLOOKUP(BP159,Fundamentus!A:U,4,FALSE)&lt;1.5,"Moderado",IF(VLOOKUP(BP159,Fundamentus!A:U,4,FALSE)&gt;1.5,"Alto","n/a")))</f>
        <v>Moderado</v>
      </c>
      <c r="EN159" s="17" t="str">
        <f>IF(VLOOKUP(BP159,Fundamentus!A:U,8,FALSE)&lt;0,"Risco elevado",IF(VLOOKUP(BP159,Fundamentus!A:U,8,FALSE)&lt;1,"Saudável",IF(VLOOKUP(BP159,Fundamentus!A:U,8,FALSE)&lt;3,"Estável",IF(VLOOKUP(BP159,Fundamentus!A:U,8,FALSE)&gt;3,"Alerta","n/a"))))</f>
        <v>Alerta</v>
      </c>
      <c r="EO159" s="28" t="str">
        <f t="shared" si="167"/>
        <v>Bom</v>
      </c>
      <c r="EP159" s="17" t="str">
        <f>IF(VLOOKUP(BP159,Fundamentus!A:U,12,FALSE)&lt;2,"Subvalorizada",IF(VLOOKUP(BP159,Fundamentus!A:U,12,FALSE)&lt;6,"Muita barata",IF(VLOOKUP(BP159,Fundamentus!A:U,12,FALSE)&lt;6,"Barata",IF(VLOOKUP(BP159,Fundamentus!A:U,12,FALSE)&lt;8,"Atrativa",IF(VLOOKUP(BP159,Fundamentus!A:U,12,FALSE)&gt;8,"Supervalorizada","n/a")))))</f>
        <v>Supervalorizada</v>
      </c>
      <c r="ER159" s="17" t="str">
        <f>IF(VLOOKUP(BP159,Fundamentus!A:U,17,FALSE)&lt;0.1,"Fraco retorno",IF(VLOOKUP(BP159,Fundamentus!A:U,17,FALSE)&gt;0.1,"Bom retorno","n/a"))</f>
        <v>Fraco retorno</v>
      </c>
      <c r="ES159" s="17" t="str">
        <f>IF(VLOOKUP(BP159,Fundamentus!A:U,16,FALSE)&lt;0.1,"Ineficiente",IF(VLOOKUP(BP159,Fundamentus!A:U,16,FALSE)&gt;0.1,"Eficiente","n/a"))</f>
        <v>Ineficiente</v>
      </c>
      <c r="ET159" s="33" t="str">
        <f>IF(VLOOKUP(BP159,Fundamentus!A:U,16,FALSE)&lt;0.1,"Oper. Ineficiente",IF(VLOOKUP(BP159,Fundamentus!A:U,16,FALSE)&gt;0.1,"Oper.Eficiente","n/a"))</f>
        <v>Oper. Ineficiente</v>
      </c>
      <c r="EU159" s="34">
        <f>VLOOKUP(BP159,Fundamentus!A:U,14,FALSE)</f>
        <v>6.8900000000000003E-2</v>
      </c>
      <c r="EV159" s="17" t="str">
        <f>IF(VLOOKUP(BP159,Fundamentus!A:U,21,FALSE)&lt;0,"Negativo",IF(VLOOKUP(BP159,Fundamentus!A:U,21,FALSE)&lt;0.05,"Fraco",IF(VLOOKUP(BP159,Fundamentus!A:U,21,FALSE)&lt;0.1,"Bom",IF(VLOOKUP(BP159,Fundamentus!A:U,21,FALSE)&gt;0.1,"Muito bom","n/a"))))</f>
        <v>Muito bom</v>
      </c>
      <c r="EX159" s="29" t="str">
        <f>IF(VLOOKUP(BP159,Fundamentus!A:U,15,FALSE)&gt;1,"Bom",IF(VLOOKUP(BP159,Fundamentus!A:U,15,FALSE)&lt;1,"Ruim","n/a"))</f>
        <v>Bom</v>
      </c>
      <c r="EY159" s="17" t="str">
        <f>IF(VLOOKUP(BP159,Fundamentus!A:U,20,FALSE)&lt;0.5,"Baixa",IF(VLOOKUP(BP159,Fundamentus!A:U,20,FALSE)&lt;1,"Moderada",IF(VLOOKUP(BP159,Fundamentus!A:U,20,FALSE)&lt;2,"Alerta",IF(VLOOKUP(BP159,Fundamentus!A:U,20,FALSE)&gt;2,"Alta","n/a"))))</f>
        <v>Alerta</v>
      </c>
      <c r="EZ159" s="10"/>
    </row>
    <row r="160" spans="1:156" s="2" customFormat="1" ht="11.25" x14ac:dyDescent="0.2">
      <c r="A160" s="4">
        <v>4.95</v>
      </c>
      <c r="B160" s="4">
        <v>5.0599999999999996</v>
      </c>
      <c r="C160" s="4">
        <v>4.92</v>
      </c>
      <c r="D160" s="4">
        <v>5.09</v>
      </c>
      <c r="E160" s="4">
        <v>5.01</v>
      </c>
      <c r="F160" s="4">
        <v>5.71</v>
      </c>
      <c r="G160" s="4">
        <v>5.29</v>
      </c>
      <c r="H160" s="4">
        <v>5.07</v>
      </c>
      <c r="I160" s="4">
        <v>4.9800000000000004</v>
      </c>
      <c r="J160" s="4">
        <v>5.0199999999999996</v>
      </c>
      <c r="K160" s="4">
        <v>5.08</v>
      </c>
      <c r="L160" s="4">
        <v>4.54</v>
      </c>
      <c r="M160" s="4">
        <v>4.4000000000000004</v>
      </c>
      <c r="N160" s="4">
        <v>4.2</v>
      </c>
      <c r="O160" s="4">
        <v>4.25</v>
      </c>
      <c r="P160" s="4">
        <v>5.08</v>
      </c>
      <c r="Q160" s="4">
        <v>6</v>
      </c>
      <c r="R160" s="4">
        <v>6.4</v>
      </c>
      <c r="S160" s="4">
        <v>8.0500000000000007</v>
      </c>
      <c r="T160" s="4">
        <v>8.0399999999999991</v>
      </c>
      <c r="U160" s="4">
        <v>7.71</v>
      </c>
      <c r="V160" s="4">
        <v>7.01</v>
      </c>
      <c r="W160" s="4">
        <v>6.61</v>
      </c>
      <c r="X160" s="4">
        <v>6.35</v>
      </c>
      <c r="Y160" s="4">
        <v>6.29</v>
      </c>
      <c r="Z160" s="4">
        <v>6</v>
      </c>
      <c r="AA160" s="4">
        <v>5.01</v>
      </c>
      <c r="AB160" s="4">
        <v>4.92</v>
      </c>
      <c r="AC160" s="4">
        <v>4.33</v>
      </c>
      <c r="AD160" s="4">
        <v>4.3499999999999996</v>
      </c>
      <c r="AE160" s="4">
        <v>4.34</v>
      </c>
      <c r="AF160" s="4">
        <v>4.3600000000000003</v>
      </c>
      <c r="AG160" s="4">
        <v>4.25</v>
      </c>
      <c r="AH160" s="4">
        <v>4.25</v>
      </c>
      <c r="AI160" s="4">
        <v>3.97</v>
      </c>
      <c r="AJ160" s="4">
        <v>4</v>
      </c>
      <c r="AK160" s="4">
        <v>4.05</v>
      </c>
      <c r="AL160" s="4">
        <v>3.95</v>
      </c>
      <c r="AM160" s="4">
        <v>3.94</v>
      </c>
      <c r="AN160" s="4">
        <v>4.13</v>
      </c>
      <c r="AO160" s="4">
        <v>4.0199999999999996</v>
      </c>
      <c r="AP160" s="4">
        <v>4.07</v>
      </c>
      <c r="AQ160" s="4">
        <v>3.79</v>
      </c>
      <c r="AR160" s="4">
        <v>4.03</v>
      </c>
      <c r="AS160" s="4">
        <v>4.12</v>
      </c>
      <c r="AT160" s="4">
        <v>4.07</v>
      </c>
      <c r="AU160" s="4">
        <v>4.5199999999999996</v>
      </c>
      <c r="AV160" s="4">
        <v>4.55</v>
      </c>
      <c r="AW160" s="4">
        <v>4.83</v>
      </c>
      <c r="AX160" s="4">
        <v>4.58</v>
      </c>
      <c r="AY160" s="12">
        <v>4.67</v>
      </c>
      <c r="AZ160" s="12">
        <v>5.15</v>
      </c>
      <c r="BA160" s="12">
        <v>5</v>
      </c>
      <c r="BB160" s="15">
        <v>5</v>
      </c>
      <c r="BC160" s="52">
        <v>5.55</v>
      </c>
      <c r="BD160" s="52">
        <v>6.26</v>
      </c>
      <c r="BE160" s="52">
        <v>6.2</v>
      </c>
      <c r="BF160" s="52">
        <v>6.78</v>
      </c>
      <c r="BG160" s="67">
        <v>7.02</v>
      </c>
      <c r="BH160" s="52">
        <v>7.19</v>
      </c>
      <c r="BI160" s="52">
        <v>6.83</v>
      </c>
      <c r="BJ160" s="52">
        <v>6.58</v>
      </c>
      <c r="BK160" s="52">
        <v>5.63</v>
      </c>
      <c r="BL160" s="52">
        <v>5.87</v>
      </c>
      <c r="BM160" s="52">
        <v>6.05</v>
      </c>
      <c r="BN160" s="52">
        <v>5.91</v>
      </c>
      <c r="BO160" s="52" cm="1">
        <f t="array" aca="1" ref="BO160" ca="1">_FV(EC160,"Preço")</f>
        <v>5.91</v>
      </c>
      <c r="BP160" s="69" t="s">
        <v>156</v>
      </c>
      <c r="BQ160" s="36" cm="1">
        <f t="array" aca="1" ref="BQ160" ca="1">_FV(EC160,"Média de volume",TRUE)</f>
        <v>665330</v>
      </c>
      <c r="BR160" s="36">
        <v>361600</v>
      </c>
      <c r="BS160" s="36" cm="1">
        <f t="array" aca="1" ref="BS160" ca="1">_FV(EC160,"Volume")</f>
        <v>361600</v>
      </c>
      <c r="BT160" s="24" cm="1">
        <f t="array" aca="1" ref="BT160" ca="1">_FV(EC160,"Beta")</f>
        <v>2.1749999999999998</v>
      </c>
      <c r="BU160" s="71" cm="1">
        <f t="array" aca="1" ref="BU160" ca="1">_FV(EC160,"Variação (%)",TRUE)</f>
        <v>-2.9557000000000003E-2</v>
      </c>
      <c r="BW160" s="17" cm="1">
        <f t="array" aca="1" ref="BW160" ca="1">_FV(EC160,"Baixo")</f>
        <v>5.87</v>
      </c>
      <c r="BX160" s="17" cm="1">
        <f t="array" aca="1" ref="BX160" ca="1">_FV(EC160,"Alto")</f>
        <v>6.12</v>
      </c>
      <c r="BY160" s="24"/>
      <c r="BZ160" s="63">
        <f ca="1">SQRT(22.5*(BO160/VLOOKUP(BP160,Fundamentus!A:U,3,FALSE))*(BO160/VLOOKUP(BP160,Fundamentus!A:U,4,FALSE)))</f>
        <v>44.918475575316108</v>
      </c>
      <c r="CB160" s="62">
        <f t="shared" ca="1" si="168"/>
        <v>0</v>
      </c>
      <c r="CC160" s="8"/>
      <c r="CD160" s="61">
        <f t="shared" si="169"/>
        <v>3.79</v>
      </c>
      <c r="CE160" s="61">
        <f t="shared" si="170"/>
        <v>8.0500000000000007</v>
      </c>
      <c r="CF160" s="61">
        <f t="shared" si="171"/>
        <v>5.2307575757575755</v>
      </c>
      <c r="CG160" s="14"/>
      <c r="CH160" s="35">
        <f t="shared" si="154"/>
        <v>5.4872409621348783</v>
      </c>
      <c r="CI160" s="15">
        <f t="shared" si="172"/>
        <v>6.1200000000000045</v>
      </c>
      <c r="CJ160" s="35">
        <f t="shared" si="155"/>
        <v>6.7527590378651308</v>
      </c>
      <c r="CL160" s="14"/>
      <c r="CM160" s="17">
        <f t="shared" si="156"/>
        <v>-0.47666666666666746</v>
      </c>
      <c r="CN160" s="17">
        <f t="shared" si="157"/>
        <v>1.6566666666666663</v>
      </c>
      <c r="CO160" s="17">
        <f t="shared" si="158"/>
        <v>3.7833333333333332</v>
      </c>
      <c r="CP160" s="38">
        <f t="shared" si="173"/>
        <v>5.916666666666667</v>
      </c>
      <c r="CQ160" s="17">
        <f t="shared" si="159"/>
        <v>8.043333333333333</v>
      </c>
      <c r="CR160" s="17">
        <f t="shared" si="160"/>
        <v>10.176666666666668</v>
      </c>
      <c r="CS160" s="17">
        <f t="shared" si="161"/>
        <v>12.303333333333335</v>
      </c>
      <c r="CT160" s="2" cm="1">
        <f t="array" aca="1" ref="CT160" ca="1">MAX(_xlfn._xlws.FILTER(CM160:CS160,CM160:CS160&lt;BO160))</f>
        <v>3.7833333333333332</v>
      </c>
      <c r="CU160" s="2" cm="1">
        <f t="array" aca="1" ref="CU160" ca="1">MIN(_xlfn._xlws.FILTER($CM160:$CS160,$CM160:$CS160&gt;BO160))</f>
        <v>5.916666666666667</v>
      </c>
      <c r="CV160" s="16">
        <f t="shared" ca="1" si="175"/>
        <v>0.56387665198237902</v>
      </c>
      <c r="CW160" s="20">
        <f t="shared" ca="1" si="176"/>
        <v>-0.28193832599118951</v>
      </c>
      <c r="CX160" s="20">
        <f t="shared" ca="1" si="177"/>
        <v>-0.18795888399412633</v>
      </c>
      <c r="CY160" s="20">
        <f t="shared" ca="1" si="178"/>
        <v>-0.1127753303964758</v>
      </c>
      <c r="CZ160" s="20">
        <f t="shared" ca="1" si="179"/>
        <v>-6.2652961331375448E-2</v>
      </c>
      <c r="DA160" s="20">
        <f t="shared" ca="1" si="180"/>
        <v>-3.3169214822492882E-2</v>
      </c>
      <c r="DB160" s="20">
        <f t="shared" ca="1" si="181"/>
        <v>-1.7087171272193304E-2</v>
      </c>
      <c r="DC160" s="20">
        <f t="shared" ca="1" si="182"/>
        <v>-8.6750254151135228E-3</v>
      </c>
      <c r="DD160" s="21">
        <f t="shared" ca="1" si="183"/>
        <v>8.6750254151135228E-3</v>
      </c>
      <c r="DE160" s="21">
        <f t="shared" ca="1" si="184"/>
        <v>1.7087171272193304E-2</v>
      </c>
      <c r="DF160" s="21">
        <f t="shared" ca="1" si="185"/>
        <v>3.3169214822492882E-2</v>
      </c>
      <c r="DG160" s="21">
        <f t="shared" ca="1" si="186"/>
        <v>6.2652961331375448E-2</v>
      </c>
      <c r="DH160" s="21">
        <f t="shared" ca="1" si="187"/>
        <v>0.1127753303964758</v>
      </c>
      <c r="DI160" s="21">
        <f t="shared" ca="1" si="188"/>
        <v>0.18795888399412633</v>
      </c>
      <c r="DJ160" s="21">
        <f t="shared" ca="1" si="189"/>
        <v>0.28193832599118951</v>
      </c>
      <c r="DL160" s="16" cm="1">
        <f t="array" aca="1" ref="DL160" ca="1">MAX(_xlfn._xlws.FILTER(CW160:DJ160,CW160:DJ160&lt;BU160))</f>
        <v>-3.3169214822492882E-2</v>
      </c>
      <c r="DM160" s="16" cm="1">
        <f t="array" aca="1" ref="DM160" ca="1">MIN(_xlfn._xlws.FILTER(CW160:DJ160,CW160:DJ160&gt;BU160))</f>
        <v>-1.7087171272193304E-2</v>
      </c>
      <c r="DN160" s="2" cm="1">
        <f t="array" aca="1" ref="DN160" ca="1">_FV(EC160,"Fechamento anterior",TRUE)</f>
        <v>6.09</v>
      </c>
      <c r="DO160" s="28">
        <f t="shared" ca="1" si="162"/>
        <v>0.2246334282635479</v>
      </c>
      <c r="DP160" s="15">
        <f t="shared" ca="1" si="190"/>
        <v>5.8879994817310184</v>
      </c>
      <c r="DQ160" s="15">
        <f t="shared" ca="1" si="191"/>
        <v>5.985939126952343</v>
      </c>
      <c r="DR160" s="9"/>
      <c r="DS160" s="9"/>
      <c r="DT160" s="9"/>
      <c r="DU160" s="89">
        <v>5.3406409137634423E-3</v>
      </c>
      <c r="DV160" s="89">
        <f t="shared" ca="1" si="163"/>
        <v>1.6082043550299577E-2</v>
      </c>
      <c r="DW160" s="72">
        <f t="shared" ca="1" si="164"/>
        <v>-0.33187989018462083</v>
      </c>
      <c r="DX160" s="37"/>
      <c r="DY160" s="35">
        <f t="shared" si="174"/>
        <v>0.31637951893256305</v>
      </c>
      <c r="DZ160" s="56"/>
      <c r="EA160" s="56"/>
      <c r="EC160" s="2" t="e" vm="162">
        <v>#VALUE!</v>
      </c>
      <c r="EE160" s="10" cm="1">
        <f t="array" aca="1" ref="EE160" ca="1">_FV(EC160,"Ações em circulação",TRUE)</f>
        <v>372555300</v>
      </c>
      <c r="EF160" s="18">
        <f>VLOOKUP(BP160,Fundamentus!A:U,5,FALSE)</f>
        <v>0.151</v>
      </c>
      <c r="EG160" s="2">
        <f t="shared" ca="1" si="165"/>
        <v>14581469026.490067</v>
      </c>
      <c r="EH160" s="17">
        <v>2306788399.9907289</v>
      </c>
      <c r="EI160" s="17">
        <f t="shared" ca="1" si="166"/>
        <v>2306788399.9907289</v>
      </c>
      <c r="EK160" s="16">
        <f t="shared" ca="1" si="153"/>
        <v>0</v>
      </c>
      <c r="EL160" s="32" t="str">
        <f>IF(VLOOKUP(BP160,Fundamentus!A:U,3,FALSE)&lt;15,"Bom",IF(VLOOKUP(BP160,Fundamentus!A:U,3,FALSE)&gt;15,"Ruim","n/a"))</f>
        <v>Bom</v>
      </c>
      <c r="EM160" s="28" t="str">
        <f>IF(VLOOKUP(BP160,Fundamentus!A:U,4,FALSE)&lt;1,"Baixo",IF(VLOOKUP(BP160,Fundamentus!A:U,4,FALSE)&lt;1.5,"Moderado",IF(VLOOKUP(BP160,Fundamentus!A:U,4,FALSE)&gt;1.5,"Alto","n/a")))</f>
        <v>Baixo</v>
      </c>
      <c r="EN160" s="17" t="str">
        <f>IF(VLOOKUP(BP160,Fundamentus!A:U,8,FALSE)&lt;0,"Risco elevado",IF(VLOOKUP(BP160,Fundamentus!A:U,8,FALSE)&lt;1,"Saudável",IF(VLOOKUP(BP160,Fundamentus!A:U,8,FALSE)&lt;3,"Estável",IF(VLOOKUP(BP160,Fundamentus!A:U,8,FALSE)&gt;3,"Alerta","n/a"))))</f>
        <v>Saudável</v>
      </c>
      <c r="EO160" s="28" t="str">
        <f t="shared" si="167"/>
        <v>Ruim</v>
      </c>
      <c r="EP160" s="17" t="str">
        <f>IF(VLOOKUP(BP160,Fundamentus!A:U,12,FALSE)&lt;2,"Subvalorizada",IF(VLOOKUP(BP160,Fundamentus!A:U,12,FALSE)&lt;6,"Muita barata",IF(VLOOKUP(BP160,Fundamentus!A:U,12,FALSE)&lt;6,"Barata",IF(VLOOKUP(BP160,Fundamentus!A:U,12,FALSE)&lt;8,"Atrativa",IF(VLOOKUP(BP160,Fundamentus!A:U,12,FALSE)&gt;8,"Supervalorizada","n/a")))))</f>
        <v>Muita barata</v>
      </c>
      <c r="ER160" s="17" t="str">
        <f>IF(VLOOKUP(BP160,Fundamentus!A:U,17,FALSE)&lt;0.1,"Fraco retorno",IF(VLOOKUP(BP160,Fundamentus!A:U,17,FALSE)&gt;0.1,"Bom retorno","n/a"))</f>
        <v>Bom retorno</v>
      </c>
      <c r="ES160" s="17" t="str">
        <f>IF(VLOOKUP(BP160,Fundamentus!A:U,16,FALSE)&lt;0.1,"Ineficiente",IF(VLOOKUP(BP160,Fundamentus!A:U,16,FALSE)&gt;0.1,"Eficiente","n/a"))</f>
        <v>Ineficiente</v>
      </c>
      <c r="ET160" s="33" t="str">
        <f>IF(VLOOKUP(BP160,Fundamentus!A:U,16,FALSE)&lt;0.1,"Oper. Ineficiente",IF(VLOOKUP(BP160,Fundamentus!A:U,16,FALSE)&gt;0.1,"Oper.Eficiente","n/a"))</f>
        <v>Oper. Ineficiente</v>
      </c>
      <c r="EU160" s="34">
        <f>VLOOKUP(BP160,Fundamentus!A:U,14,FALSE)</f>
        <v>0.15820000000000001</v>
      </c>
      <c r="EV160" s="17" t="str">
        <f>IF(VLOOKUP(BP160,Fundamentus!A:U,21,FALSE)&lt;0,"Negativo",IF(VLOOKUP(BP160,Fundamentus!A:U,21,FALSE)&lt;0.05,"Fraco",IF(VLOOKUP(BP160,Fundamentus!A:U,21,FALSE)&lt;0.1,"Bom",IF(VLOOKUP(BP160,Fundamentus!A:U,21,FALSE)&gt;0.1,"Muito bom","n/a"))))</f>
        <v>Fraco</v>
      </c>
      <c r="EX160" s="29" t="str">
        <f>IF(VLOOKUP(BP160,Fundamentus!A:U,15,FALSE)&gt;1,"Bom",IF(VLOOKUP(BP160,Fundamentus!A:U,15,FALSE)&lt;1,"Ruim","n/a"))</f>
        <v>Bom</v>
      </c>
      <c r="EY160" s="17" t="str">
        <f>IF(VLOOKUP(BP160,Fundamentus!A:U,20,FALSE)&lt;0.5,"Baixa",IF(VLOOKUP(BP160,Fundamentus!A:U,20,FALSE)&lt;1,"Moderada",IF(VLOOKUP(BP160,Fundamentus!A:U,20,FALSE)&lt;2,"Alerta",IF(VLOOKUP(BP160,Fundamentus!A:U,20,FALSE)&gt;2,"Alta","n/a"))))</f>
        <v>Alerta</v>
      </c>
      <c r="EZ160" s="10"/>
    </row>
    <row r="161" spans="1:156" s="2" customFormat="1" ht="11.25" x14ac:dyDescent="0.2">
      <c r="A161" s="4">
        <v>4.54</v>
      </c>
      <c r="B161" s="4">
        <v>4.49</v>
      </c>
      <c r="C161" s="4">
        <v>4.41</v>
      </c>
      <c r="D161" s="4">
        <v>4.38</v>
      </c>
      <c r="E161" s="4">
        <v>4.01</v>
      </c>
      <c r="F161" s="4">
        <v>4.0999999999999996</v>
      </c>
      <c r="G161" s="4">
        <v>3.85</v>
      </c>
      <c r="H161" s="4">
        <v>3.75</v>
      </c>
      <c r="I161" s="4">
        <v>3.72</v>
      </c>
      <c r="J161" s="4">
        <v>4.13</v>
      </c>
      <c r="K161" s="4">
        <v>4.16</v>
      </c>
      <c r="L161" s="4">
        <v>3.86</v>
      </c>
      <c r="M161" s="4">
        <v>4.04</v>
      </c>
      <c r="N161" s="4">
        <v>3.92</v>
      </c>
      <c r="O161" s="4">
        <v>4.32</v>
      </c>
      <c r="P161" s="4">
        <v>3.92</v>
      </c>
      <c r="Q161" s="4">
        <v>4.0199999999999996</v>
      </c>
      <c r="R161" s="4">
        <v>3.65</v>
      </c>
      <c r="S161" s="4">
        <v>3.56</v>
      </c>
      <c r="T161" s="4">
        <v>3.63</v>
      </c>
      <c r="U161" s="4">
        <v>3.49</v>
      </c>
      <c r="V161" s="4">
        <v>3.44</v>
      </c>
      <c r="W161" s="4">
        <v>3.3</v>
      </c>
      <c r="X161" s="4">
        <v>3.18</v>
      </c>
      <c r="Y161" s="4">
        <v>3.2</v>
      </c>
      <c r="Z161" s="4">
        <v>3.43</v>
      </c>
      <c r="AA161" s="4">
        <v>3.1</v>
      </c>
      <c r="AB161" s="4">
        <v>3.18</v>
      </c>
      <c r="AC161" s="4">
        <v>3.3</v>
      </c>
      <c r="AD161" s="4">
        <v>3.58</v>
      </c>
      <c r="AE161" s="4">
        <v>3.39</v>
      </c>
      <c r="AF161" s="4">
        <v>3.17</v>
      </c>
      <c r="AG161" s="4">
        <v>2.99</v>
      </c>
      <c r="AH161" s="4">
        <v>3.06</v>
      </c>
      <c r="AI161" s="4">
        <v>3.11</v>
      </c>
      <c r="AJ161" s="4">
        <v>3</v>
      </c>
      <c r="AK161" s="4">
        <v>3.08</v>
      </c>
      <c r="AL161" s="4">
        <v>3.15</v>
      </c>
      <c r="AM161" s="4">
        <v>3.22</v>
      </c>
      <c r="AN161" s="4">
        <v>3.44</v>
      </c>
      <c r="AO161" s="4">
        <v>3.48</v>
      </c>
      <c r="AP161" s="4">
        <v>3.66</v>
      </c>
      <c r="AQ161" s="4">
        <v>3.68</v>
      </c>
      <c r="AR161" s="4">
        <v>3.38</v>
      </c>
      <c r="AS161" s="4">
        <v>3.59</v>
      </c>
      <c r="AT161" s="4">
        <v>3.68</v>
      </c>
      <c r="AU161" s="4">
        <v>3.56</v>
      </c>
      <c r="AV161" s="4">
        <v>3.88</v>
      </c>
      <c r="AW161" s="4">
        <v>3.42</v>
      </c>
      <c r="AX161" s="4">
        <v>3.69</v>
      </c>
      <c r="AY161" s="12">
        <v>3.86</v>
      </c>
      <c r="AZ161" s="12">
        <v>3.98</v>
      </c>
      <c r="BA161" s="12">
        <v>4.09</v>
      </c>
      <c r="BB161" s="15">
        <v>4.08</v>
      </c>
      <c r="BC161" s="52">
        <v>4.3099999999999996</v>
      </c>
      <c r="BD161" s="52">
        <v>5.12</v>
      </c>
      <c r="BE161" s="52">
        <v>5.28</v>
      </c>
      <c r="BF161" s="52">
        <v>4.97</v>
      </c>
      <c r="BG161" s="67">
        <v>5.2</v>
      </c>
      <c r="BH161" s="52">
        <v>5.17</v>
      </c>
      <c r="BI161" s="52">
        <v>5.0999999999999996</v>
      </c>
      <c r="BJ161" s="52">
        <v>5.0999999999999996</v>
      </c>
      <c r="BK161" s="52">
        <v>4.8</v>
      </c>
      <c r="BL161" s="52">
        <v>4.8499999999999996</v>
      </c>
      <c r="BM161" s="52">
        <v>4.88</v>
      </c>
      <c r="BN161" s="52">
        <v>5.07</v>
      </c>
      <c r="BO161" s="52" cm="1">
        <f t="array" aca="1" ref="BO161" ca="1">_FV(EC161,"Preço")</f>
        <v>5.07</v>
      </c>
      <c r="BP161" s="69" t="s">
        <v>157</v>
      </c>
      <c r="BQ161" s="36" cm="1">
        <f t="array" aca="1" ref="BQ161" ca="1">_FV(EC161,"Média de volume",TRUE)</f>
        <v>241060</v>
      </c>
      <c r="BR161" s="36">
        <v>360000</v>
      </c>
      <c r="BS161" s="36" cm="1">
        <f t="array" aca="1" ref="BS161" ca="1">_FV(EC161,"Volume")</f>
        <v>360000</v>
      </c>
      <c r="BT161" s="24" cm="1">
        <f t="array" aca="1" ref="BT161" ca="1">_FV(EC161,"Beta")</f>
        <v>2.3144999999999998</v>
      </c>
      <c r="BU161" s="71" cm="1">
        <f t="array" aca="1" ref="BU161" ca="1">_FV(EC161,"Variação (%)",TRUE)</f>
        <v>0</v>
      </c>
      <c r="BW161" s="17" cm="1">
        <f t="array" aca="1" ref="BW161" ca="1">_FV(EC161,"Baixo")</f>
        <v>5.01</v>
      </c>
      <c r="BX161" s="17" cm="1">
        <f t="array" aca="1" ref="BX161" ca="1">_FV(EC161,"Alto")</f>
        <v>5.15</v>
      </c>
      <c r="BY161" s="24"/>
      <c r="BZ161" s="63">
        <f ca="1">SQRT(22.5*(BO161/VLOOKUP(BP161,Fundamentus!A:U,3,FALSE))*(BO161/VLOOKUP(BP161,Fundamentus!A:U,4,FALSE)))</f>
        <v>7.3379856833355275</v>
      </c>
      <c r="CB161" s="62">
        <f t="shared" ca="1" si="168"/>
        <v>0</v>
      </c>
      <c r="CC161" s="8"/>
      <c r="CD161" s="61">
        <f t="shared" si="169"/>
        <v>2.99</v>
      </c>
      <c r="CE161" s="61">
        <f t="shared" si="170"/>
        <v>5.28</v>
      </c>
      <c r="CF161" s="61">
        <f t="shared" si="171"/>
        <v>3.8962121212121219</v>
      </c>
      <c r="CG161" s="14"/>
      <c r="CH161" s="35">
        <f t="shared" si="154"/>
        <v>4.8670185192241009</v>
      </c>
      <c r="CI161" s="15">
        <f t="shared" si="172"/>
        <v>5.1099999999999</v>
      </c>
      <c r="CJ161" s="35">
        <f t="shared" si="155"/>
        <v>5.352981480775699</v>
      </c>
      <c r="CL161" s="14"/>
      <c r="CM161" s="17">
        <f t="shared" si="156"/>
        <v>1.3233333333333324</v>
      </c>
      <c r="CN161" s="17">
        <f t="shared" si="157"/>
        <v>2.1566666666666663</v>
      </c>
      <c r="CO161" s="17">
        <f t="shared" si="158"/>
        <v>3.6133333333333324</v>
      </c>
      <c r="CP161" s="38">
        <f t="shared" si="173"/>
        <v>4.4466666666666663</v>
      </c>
      <c r="CQ161" s="17">
        <f t="shared" si="159"/>
        <v>5.9033333333333324</v>
      </c>
      <c r="CR161" s="17">
        <f t="shared" si="160"/>
        <v>6.7366666666666664</v>
      </c>
      <c r="CS161" s="17">
        <f t="shared" si="161"/>
        <v>8.1933333333333316</v>
      </c>
      <c r="CT161" s="2" cm="1">
        <f t="array" aca="1" ref="CT161" ca="1">MAX(_xlfn._xlws.FILTER(CM161:CS161,CM161:CS161&lt;BO161))</f>
        <v>4.4466666666666663</v>
      </c>
      <c r="CU161" s="2" cm="1">
        <f t="array" aca="1" ref="CU161" ca="1">MIN(_xlfn._xlws.FILTER($CM161:$CS161,$CM161:$CS161&gt;BO161))</f>
        <v>5.9033333333333324</v>
      </c>
      <c r="CV161" s="16">
        <f t="shared" ca="1" si="175"/>
        <v>0.3275862068965516</v>
      </c>
      <c r="CW161" s="20">
        <f t="shared" ca="1" si="176"/>
        <v>-0.1637931034482758</v>
      </c>
      <c r="CX161" s="20">
        <f t="shared" ca="1" si="177"/>
        <v>-0.10919540229885054</v>
      </c>
      <c r="CY161" s="20">
        <f t="shared" ca="1" si="178"/>
        <v>-6.5517241379310323E-2</v>
      </c>
      <c r="CZ161" s="20">
        <f t="shared" ca="1" si="179"/>
        <v>-3.639846743295018E-2</v>
      </c>
      <c r="DA161" s="20">
        <f t="shared" ca="1" si="180"/>
        <v>-1.9269776876267741E-2</v>
      </c>
      <c r="DB161" s="20">
        <f t="shared" ca="1" si="181"/>
        <v>-9.9268547544409582E-3</v>
      </c>
      <c r="DC161" s="20">
        <f t="shared" ca="1" si="182"/>
        <v>-5.0397877984084865E-3</v>
      </c>
      <c r="DD161" s="21">
        <f t="shared" ca="1" si="183"/>
        <v>5.0397877984084865E-3</v>
      </c>
      <c r="DE161" s="21">
        <f t="shared" ca="1" si="184"/>
        <v>9.9268547544409582E-3</v>
      </c>
      <c r="DF161" s="21">
        <f t="shared" ca="1" si="185"/>
        <v>1.9269776876267741E-2</v>
      </c>
      <c r="DG161" s="21">
        <f t="shared" ca="1" si="186"/>
        <v>3.639846743295018E-2</v>
      </c>
      <c r="DH161" s="21">
        <f t="shared" ca="1" si="187"/>
        <v>6.5517241379310323E-2</v>
      </c>
      <c r="DI161" s="21">
        <f t="shared" ca="1" si="188"/>
        <v>0.10919540229885054</v>
      </c>
      <c r="DJ161" s="21">
        <f t="shared" ca="1" si="189"/>
        <v>0.1637931034482758</v>
      </c>
      <c r="DL161" s="16" cm="1">
        <f t="array" aca="1" ref="DL161" ca="1">MAX(_xlfn._xlws.FILTER(CW161:DJ161,CW161:DJ161&lt;BU161))</f>
        <v>-5.0397877984084865E-3</v>
      </c>
      <c r="DM161" s="16" cm="1">
        <f t="array" aca="1" ref="DM161" ca="1">MIN(_xlfn._xlws.FILTER(CW161:DJ161,CW161:DJ161&gt;BU161))</f>
        <v>5.0397877984084865E-3</v>
      </c>
      <c r="DN161" s="2" cm="1">
        <f t="array" aca="1" ref="DN161" ca="1">_FV(EC161,"Fechamento anterior",TRUE)</f>
        <v>5.07</v>
      </c>
      <c r="DO161" s="28">
        <f t="shared" ca="1" si="162"/>
        <v>0.5</v>
      </c>
      <c r="DP161" s="15">
        <f t="shared" ca="1" si="190"/>
        <v>5.0444482758620692</v>
      </c>
      <c r="DQ161" s="15">
        <f t="shared" ca="1" si="191"/>
        <v>5.0955517241379313</v>
      </c>
      <c r="DR161" s="9"/>
      <c r="DS161" s="9"/>
      <c r="DT161" s="9"/>
      <c r="DU161" s="89">
        <v>9.7326454033771059E-3</v>
      </c>
      <c r="DV161" s="89">
        <f t="shared" ca="1" si="163"/>
        <v>1.0079575596816973E-2</v>
      </c>
      <c r="DW161" s="72">
        <f t="shared" ca="1" si="164"/>
        <v>-0.16462159944118535</v>
      </c>
      <c r="DX161" s="37"/>
      <c r="DY161" s="35">
        <f t="shared" si="174"/>
        <v>0.1214907403878996</v>
      </c>
      <c r="DZ161" s="56"/>
      <c r="EA161" s="56"/>
      <c r="EC161" s="2" t="e" vm="163">
        <v>#VALUE!</v>
      </c>
      <c r="EE161" s="10" cm="1">
        <f t="array" aca="1" ref="EE161" ca="1">_FV(EC161,"Ações em circulação",TRUE)</f>
        <v>364542500</v>
      </c>
      <c r="EF161" s="18">
        <f>VLOOKUP(BP161,Fundamentus!A:U,5,FALSE)</f>
        <v>0.68200000000000005</v>
      </c>
      <c r="EG161" s="2">
        <f t="shared" ca="1" si="165"/>
        <v>2710015359.2375364</v>
      </c>
      <c r="EH161" s="17">
        <v>197831121.22434014</v>
      </c>
      <c r="EI161" s="17">
        <f t="shared" ca="1" si="166"/>
        <v>197831121.22434014</v>
      </c>
      <c r="EK161" s="16">
        <f t="shared" ca="1" si="153"/>
        <v>0</v>
      </c>
      <c r="EL161" s="32" t="str">
        <f>IF(VLOOKUP(BP161,Fundamentus!A:U,3,FALSE)&lt;15,"Bom",IF(VLOOKUP(BP161,Fundamentus!A:U,3,FALSE)&gt;15,"Ruim","n/a"))</f>
        <v>Bom</v>
      </c>
      <c r="EM161" s="28" t="str">
        <f>IF(VLOOKUP(BP161,Fundamentus!A:U,4,FALSE)&lt;1,"Baixo",IF(VLOOKUP(BP161,Fundamentus!A:U,4,FALSE)&lt;1.5,"Moderado",IF(VLOOKUP(BP161,Fundamentus!A:U,4,FALSE)&gt;1.5,"Alto","n/a")))</f>
        <v>Moderado</v>
      </c>
      <c r="EN161" s="17" t="str">
        <f>IF(VLOOKUP(BP161,Fundamentus!A:U,8,FALSE)&lt;0,"Risco elevado",IF(VLOOKUP(BP161,Fundamentus!A:U,8,FALSE)&lt;1,"Saudável",IF(VLOOKUP(BP161,Fundamentus!A:U,8,FALSE)&lt;3,"Estável",IF(VLOOKUP(BP161,Fundamentus!A:U,8,FALSE)&gt;3,"Alerta","n/a"))))</f>
        <v>Alerta</v>
      </c>
      <c r="EO161" s="28" t="str">
        <f t="shared" si="167"/>
        <v>Ruim</v>
      </c>
      <c r="EP161" s="17" t="str">
        <f>IF(VLOOKUP(BP161,Fundamentus!A:U,12,FALSE)&lt;2,"Subvalorizada",IF(VLOOKUP(BP161,Fundamentus!A:U,12,FALSE)&lt;6,"Muita barata",IF(VLOOKUP(BP161,Fundamentus!A:U,12,FALSE)&lt;6,"Barata",IF(VLOOKUP(BP161,Fundamentus!A:U,12,FALSE)&lt;8,"Atrativa",IF(VLOOKUP(BP161,Fundamentus!A:U,12,FALSE)&gt;8,"Supervalorizada","n/a")))))</f>
        <v>Muita barata</v>
      </c>
      <c r="ER161" s="17" t="str">
        <f>IF(VLOOKUP(BP161,Fundamentus!A:U,17,FALSE)&lt;0.1,"Fraco retorno",IF(VLOOKUP(BP161,Fundamentus!A:U,17,FALSE)&gt;0.1,"Bom retorno","n/a"))</f>
        <v>Bom retorno</v>
      </c>
      <c r="ES161" s="17" t="str">
        <f>IF(VLOOKUP(BP161,Fundamentus!A:U,16,FALSE)&lt;0.1,"Ineficiente",IF(VLOOKUP(BP161,Fundamentus!A:U,16,FALSE)&gt;0.1,"Eficiente","n/a"))</f>
        <v>Eficiente</v>
      </c>
      <c r="ET161" s="33" t="str">
        <f>IF(VLOOKUP(BP161,Fundamentus!A:U,16,FALSE)&lt;0.1,"Oper. Ineficiente",IF(VLOOKUP(BP161,Fundamentus!A:U,16,FALSE)&gt;0.1,"Oper.Eficiente","n/a"))</f>
        <v>Oper.Eficiente</v>
      </c>
      <c r="EU161" s="34">
        <f>VLOOKUP(BP161,Fundamentus!A:U,14,FALSE)</f>
        <v>7.2999999999999995E-2</v>
      </c>
      <c r="EV161" s="17" t="str">
        <f>IF(VLOOKUP(BP161,Fundamentus!A:U,21,FALSE)&lt;0,"Negativo",IF(VLOOKUP(BP161,Fundamentus!A:U,21,FALSE)&lt;0.05,"Fraco",IF(VLOOKUP(BP161,Fundamentus!A:U,21,FALSE)&lt;0.1,"Bom",IF(VLOOKUP(BP161,Fundamentus!A:U,21,FALSE)&gt;0.1,"Muito bom","n/a"))))</f>
        <v>Muito bom</v>
      </c>
      <c r="EX161" s="29" t="str">
        <f>IF(VLOOKUP(BP161,Fundamentus!A:U,15,FALSE)&gt;1,"Bom",IF(VLOOKUP(BP161,Fundamentus!A:U,15,FALSE)&lt;1,"Ruim","n/a"))</f>
        <v>Bom</v>
      </c>
      <c r="EY161" s="17" t="str">
        <f>IF(VLOOKUP(BP161,Fundamentus!A:U,20,FALSE)&lt;0.5,"Baixa",IF(VLOOKUP(BP161,Fundamentus!A:U,20,FALSE)&lt;1,"Moderada",IF(VLOOKUP(BP161,Fundamentus!A:U,20,FALSE)&lt;2,"Alerta",IF(VLOOKUP(BP161,Fundamentus!A:U,20,FALSE)&gt;2,"Alta","n/a"))))</f>
        <v>Moderada</v>
      </c>
      <c r="EZ161" s="10"/>
    </row>
    <row r="162" spans="1:156" s="2" customFormat="1" ht="11.25" x14ac:dyDescent="0.2">
      <c r="A162" s="4">
        <v>24.6</v>
      </c>
      <c r="B162" s="4">
        <v>23.44</v>
      </c>
      <c r="C162" s="4">
        <v>24.08</v>
      </c>
      <c r="D162" s="4">
        <v>22.76</v>
      </c>
      <c r="E162" s="4">
        <v>22.68</v>
      </c>
      <c r="F162" s="4">
        <v>22.88</v>
      </c>
      <c r="G162" s="4">
        <v>22.46</v>
      </c>
      <c r="H162" s="4">
        <v>22.2</v>
      </c>
      <c r="I162" s="4">
        <v>22.54</v>
      </c>
      <c r="J162" s="4">
        <v>24.17</v>
      </c>
      <c r="K162" s="4">
        <v>24.69</v>
      </c>
      <c r="L162" s="4">
        <v>24.63</v>
      </c>
      <c r="M162" s="4">
        <v>24.17</v>
      </c>
      <c r="N162" s="4">
        <v>24.8</v>
      </c>
      <c r="O162" s="4">
        <v>26.3</v>
      </c>
      <c r="P162" s="4">
        <v>26.72</v>
      </c>
      <c r="Q162" s="4">
        <v>26.69</v>
      </c>
      <c r="R162" s="4">
        <v>25.64</v>
      </c>
      <c r="S162" s="4">
        <v>25.95</v>
      </c>
      <c r="T162" s="4">
        <v>27.52</v>
      </c>
      <c r="U162" s="4">
        <v>26.34</v>
      </c>
      <c r="V162" s="4">
        <v>25.54</v>
      </c>
      <c r="W162" s="4">
        <v>25.79</v>
      </c>
      <c r="X162" s="4">
        <v>25.6</v>
      </c>
      <c r="Y162" s="4">
        <v>25.34</v>
      </c>
      <c r="Z162" s="4">
        <v>25.1</v>
      </c>
      <c r="AA162" s="4">
        <v>25.04</v>
      </c>
      <c r="AB162" s="4">
        <v>24.68</v>
      </c>
      <c r="AC162" s="4">
        <v>25.65</v>
      </c>
      <c r="AD162" s="4">
        <v>25.72</v>
      </c>
      <c r="AE162" s="4">
        <v>23.88</v>
      </c>
      <c r="AF162" s="4">
        <v>23.22</v>
      </c>
      <c r="AG162" s="4">
        <v>22.5</v>
      </c>
      <c r="AH162" s="4">
        <v>21.37</v>
      </c>
      <c r="AI162" s="4">
        <v>21.19</v>
      </c>
      <c r="AJ162" s="4">
        <v>20.28</v>
      </c>
      <c r="AK162" s="4">
        <v>20.239999999999998</v>
      </c>
      <c r="AL162" s="4">
        <v>20.53</v>
      </c>
      <c r="AM162" s="4">
        <v>20.81</v>
      </c>
      <c r="AN162" s="4">
        <v>22.4</v>
      </c>
      <c r="AO162" s="4">
        <v>22.07</v>
      </c>
      <c r="AP162" s="4">
        <v>22.85</v>
      </c>
      <c r="AQ162" s="4">
        <v>22.19</v>
      </c>
      <c r="AR162" s="4">
        <v>20.95</v>
      </c>
      <c r="AS162" s="4">
        <v>21.59</v>
      </c>
      <c r="AT162" s="4">
        <v>22.91</v>
      </c>
      <c r="AU162" s="4">
        <v>23.14</v>
      </c>
      <c r="AV162" s="4">
        <v>22.76</v>
      </c>
      <c r="AW162" s="4">
        <v>22.78</v>
      </c>
      <c r="AX162" s="4">
        <v>23.8</v>
      </c>
      <c r="AY162" s="12">
        <v>24.14</v>
      </c>
      <c r="AZ162" s="12">
        <v>25.5</v>
      </c>
      <c r="BA162" s="12">
        <v>25.74</v>
      </c>
      <c r="BB162" s="15">
        <v>26.02</v>
      </c>
      <c r="BC162" s="52">
        <v>25.84</v>
      </c>
      <c r="BD162" s="52">
        <v>25.9</v>
      </c>
      <c r="BE162" s="52">
        <v>26.88</v>
      </c>
      <c r="BF162" s="52">
        <v>26.26</v>
      </c>
      <c r="BG162" s="67">
        <v>25.7</v>
      </c>
      <c r="BH162" s="52">
        <v>25.85</v>
      </c>
      <c r="BI162" s="52">
        <v>27.04</v>
      </c>
      <c r="BJ162" s="52">
        <v>27.17</v>
      </c>
      <c r="BK162" s="52">
        <v>25.9</v>
      </c>
      <c r="BL162" s="52">
        <v>25.24</v>
      </c>
      <c r="BM162" s="52">
        <v>25.25</v>
      </c>
      <c r="BN162" s="52">
        <v>25.65</v>
      </c>
      <c r="BO162" s="52" cm="1">
        <f t="array" aca="1" ref="BO162" ca="1">_FV(EC162,"Preço")</f>
        <v>25.65</v>
      </c>
      <c r="BP162" s="69" t="s">
        <v>158</v>
      </c>
      <c r="BQ162" s="36" cm="1">
        <f t="array" aca="1" ref="BQ162" ca="1">_FV(EC162,"Média de volume",TRUE)</f>
        <v>3605870</v>
      </c>
      <c r="BR162" s="36">
        <v>4503100</v>
      </c>
      <c r="BS162" s="36" cm="1">
        <f t="array" aca="1" ref="BS162" ca="1">_FV(EC162,"Volume")</f>
        <v>4503100</v>
      </c>
      <c r="BT162" s="24" cm="1">
        <f t="array" aca="1" ref="BT162" ca="1">_FV(EC162,"Beta")</f>
        <v>1.0392999999999999</v>
      </c>
      <c r="BU162" s="71" cm="1">
        <f t="array" aca="1" ref="BU162" ca="1">_FV(EC162,"Variação (%)",TRUE)</f>
        <v>1.3833999999999999E-2</v>
      </c>
      <c r="BW162" s="17" cm="1">
        <f t="array" aca="1" ref="BW162" ca="1">_FV(EC162,"Baixo")</f>
        <v>25.38</v>
      </c>
      <c r="BX162" s="17" cm="1">
        <f t="array" aca="1" ref="BX162" ca="1">_FV(EC162,"Alto")</f>
        <v>25.96</v>
      </c>
      <c r="BY162" s="24"/>
      <c r="BZ162" s="63">
        <f ca="1">SQRT(22.5*(BO162/VLOOKUP(BP162,Fundamentus!A:U,3,FALSE))*(BO162/VLOOKUP(BP162,Fundamentus!A:U,4,FALSE)))</f>
        <v>25.243758898454264</v>
      </c>
      <c r="CB162" s="62">
        <f t="shared" ca="1" si="168"/>
        <v>0</v>
      </c>
      <c r="CC162" s="8"/>
      <c r="CD162" s="61">
        <f t="shared" si="169"/>
        <v>20.239999999999998</v>
      </c>
      <c r="CE162" s="61">
        <f t="shared" si="170"/>
        <v>27.52</v>
      </c>
      <c r="CF162" s="61">
        <f t="shared" si="171"/>
        <v>24.231212121212128</v>
      </c>
      <c r="CG162" s="14"/>
      <c r="CH162" s="35">
        <f t="shared" si="154"/>
        <v>23.906076464357561</v>
      </c>
      <c r="CI162" s="15">
        <f t="shared" si="172"/>
        <v>25.324999999999989</v>
      </c>
      <c r="CJ162" s="35">
        <f t="shared" si="155"/>
        <v>26.743923535642416</v>
      </c>
      <c r="CL162" s="14"/>
      <c r="CM162" s="17">
        <f t="shared" si="156"/>
        <v>14.139999999999997</v>
      </c>
      <c r="CN162" s="17">
        <f t="shared" si="157"/>
        <v>17.189999999999998</v>
      </c>
      <c r="CO162" s="17">
        <f t="shared" si="158"/>
        <v>21.419999999999998</v>
      </c>
      <c r="CP162" s="38">
        <f t="shared" si="173"/>
        <v>24.47</v>
      </c>
      <c r="CQ162" s="17">
        <f t="shared" si="159"/>
        <v>28.7</v>
      </c>
      <c r="CR162" s="17">
        <f t="shared" si="160"/>
        <v>31.75</v>
      </c>
      <c r="CS162" s="17">
        <f t="shared" si="161"/>
        <v>35.980000000000004</v>
      </c>
      <c r="CT162" s="2" cm="1">
        <f t="array" aca="1" ref="CT162" ca="1">MAX(_xlfn._xlws.FILTER(CM162:CS162,CM162:CS162&lt;BO162))</f>
        <v>24.47</v>
      </c>
      <c r="CU162" s="2" cm="1">
        <f t="array" aca="1" ref="CU162" ca="1">MIN(_xlfn._xlws.FILTER($CM162:$CS162,$CM162:$CS162&gt;BO162))</f>
        <v>28.7</v>
      </c>
      <c r="CV162" s="16">
        <f t="shared" ca="1" si="175"/>
        <v>0.17286473232529631</v>
      </c>
      <c r="CW162" s="20">
        <f t="shared" ca="1" si="176"/>
        <v>-8.6432366162648155E-2</v>
      </c>
      <c r="CX162" s="20">
        <f t="shared" ca="1" si="177"/>
        <v>-5.7621577441765437E-2</v>
      </c>
      <c r="CY162" s="20">
        <f t="shared" ca="1" si="178"/>
        <v>-3.4572946465059262E-2</v>
      </c>
      <c r="CZ162" s="20">
        <f t="shared" ca="1" si="179"/>
        <v>-1.920719248058848E-2</v>
      </c>
      <c r="DA162" s="20">
        <f t="shared" ca="1" si="180"/>
        <v>-1.0168513666193901E-2</v>
      </c>
      <c r="DB162" s="20">
        <f t="shared" ca="1" si="181"/>
        <v>-5.2383252219786762E-3</v>
      </c>
      <c r="DC162" s="20">
        <f t="shared" ca="1" si="182"/>
        <v>-2.659457420389174E-3</v>
      </c>
      <c r="DD162" s="21">
        <f t="shared" ca="1" si="183"/>
        <v>2.659457420389174E-3</v>
      </c>
      <c r="DE162" s="21">
        <f t="shared" ca="1" si="184"/>
        <v>5.2383252219786762E-3</v>
      </c>
      <c r="DF162" s="21">
        <f t="shared" ca="1" si="185"/>
        <v>1.0168513666193901E-2</v>
      </c>
      <c r="DG162" s="21">
        <f t="shared" ca="1" si="186"/>
        <v>1.920719248058848E-2</v>
      </c>
      <c r="DH162" s="21">
        <f t="shared" ca="1" si="187"/>
        <v>3.4572946465059262E-2</v>
      </c>
      <c r="DI162" s="21">
        <f t="shared" ca="1" si="188"/>
        <v>5.7621577441765437E-2</v>
      </c>
      <c r="DJ162" s="21">
        <f t="shared" ca="1" si="189"/>
        <v>8.6432366162648155E-2</v>
      </c>
      <c r="DL162" s="16" cm="1">
        <f t="array" aca="1" ref="DL162" ca="1">MAX(_xlfn._xlws.FILTER(CW162:DJ162,CW162:DJ162&lt;BU162))</f>
        <v>1.0168513666193901E-2</v>
      </c>
      <c r="DM162" s="16" cm="1">
        <f t="array" aca="1" ref="DM162" ca="1">MIN(_xlfn._xlws.FILTER(CW162:DJ162,CW162:DJ162&gt;BU162))</f>
        <v>1.920719248058848E-2</v>
      </c>
      <c r="DN162" s="2" cm="1">
        <f t="array" aca="1" ref="DN162" ca="1">_FV(EC162,"Fechamento anterior",TRUE)</f>
        <v>25.3</v>
      </c>
      <c r="DO162" s="28">
        <f t="shared" ca="1" si="162"/>
        <v>0.40553254562273366</v>
      </c>
      <c r="DP162" s="15">
        <f t="shared" ca="1" si="190"/>
        <v>25.557263395754706</v>
      </c>
      <c r="DQ162" s="15">
        <f t="shared" ca="1" si="191"/>
        <v>25.785941969758888</v>
      </c>
      <c r="DR162" s="9"/>
      <c r="DS162" s="9"/>
      <c r="DT162" s="9"/>
      <c r="DU162" s="89">
        <v>2.5095634958648655E-3</v>
      </c>
      <c r="DV162" s="89">
        <f t="shared" ca="1" si="163"/>
        <v>9.0386788143945792E-3</v>
      </c>
      <c r="DW162" s="72">
        <f t="shared" ca="1" si="164"/>
        <v>0.22904687379990768</v>
      </c>
      <c r="DX162" s="37"/>
      <c r="DY162" s="35">
        <f t="shared" si="174"/>
        <v>0.7094617678212134</v>
      </c>
      <c r="DZ162" s="56"/>
      <c r="EA162" s="56"/>
      <c r="EC162" s="2" t="e" vm="164">
        <v>#VALUE!</v>
      </c>
      <c r="EE162" s="10" cm="1">
        <f t="array" aca="1" ref="EE162" ca="1">_FV(EC162,"Ações em circulação",TRUE)</f>
        <v>513163700</v>
      </c>
      <c r="EF162" s="18">
        <f>VLOOKUP(BP162,Fundamentus!A:U,5,FALSE)</f>
        <v>5.1879999999999997</v>
      </c>
      <c r="EG162" s="2">
        <f t="shared" ca="1" si="165"/>
        <v>2537133559.1750193</v>
      </c>
      <c r="EH162" s="17">
        <v>1303071795.9922898</v>
      </c>
      <c r="EI162" s="17">
        <f t="shared" ca="1" si="166"/>
        <v>1303071795.9922898</v>
      </c>
      <c r="EK162" s="16">
        <f t="shared" ca="1" si="153"/>
        <v>0</v>
      </c>
      <c r="EL162" s="32" t="str">
        <f>IF(VLOOKUP(BP162,Fundamentus!A:U,3,FALSE)&lt;15,"Bom",IF(VLOOKUP(BP162,Fundamentus!A:U,3,FALSE)&gt;15,"Ruim","n/a"))</f>
        <v>Bom</v>
      </c>
      <c r="EM162" s="28" t="str">
        <f>IF(VLOOKUP(BP162,Fundamentus!A:U,4,FALSE)&lt;1,"Baixo",IF(VLOOKUP(BP162,Fundamentus!A:U,4,FALSE)&lt;1.5,"Moderado",IF(VLOOKUP(BP162,Fundamentus!A:U,4,FALSE)&gt;1.5,"Alto","n/a")))</f>
        <v>Alto</v>
      </c>
      <c r="EN162" s="17" t="str">
        <f>IF(VLOOKUP(BP162,Fundamentus!A:U,8,FALSE)&lt;0,"Risco elevado",IF(VLOOKUP(BP162,Fundamentus!A:U,8,FALSE)&lt;1,"Saudável",IF(VLOOKUP(BP162,Fundamentus!A:U,8,FALSE)&lt;3,"Estável",IF(VLOOKUP(BP162,Fundamentus!A:U,8,FALSE)&gt;3,"Alerta","n/a"))))</f>
        <v>Alerta</v>
      </c>
      <c r="EO162" s="28" t="str">
        <f t="shared" si="167"/>
        <v>Bom</v>
      </c>
      <c r="EP162" s="17" t="str">
        <f>IF(VLOOKUP(BP162,Fundamentus!A:U,12,FALSE)&lt;2,"Subvalorizada",IF(VLOOKUP(BP162,Fundamentus!A:U,12,FALSE)&lt;6,"Muita barata",IF(VLOOKUP(BP162,Fundamentus!A:U,12,FALSE)&lt;6,"Barata",IF(VLOOKUP(BP162,Fundamentus!A:U,12,FALSE)&lt;8,"Atrativa",IF(VLOOKUP(BP162,Fundamentus!A:U,12,FALSE)&gt;8,"Supervalorizada","n/a")))))</f>
        <v>Supervalorizada</v>
      </c>
      <c r="ER162" s="17" t="str">
        <f>IF(VLOOKUP(BP162,Fundamentus!A:U,17,FALSE)&lt;0.1,"Fraco retorno",IF(VLOOKUP(BP162,Fundamentus!A:U,17,FALSE)&gt;0.1,"Bom retorno","n/a"))</f>
        <v>Bom retorno</v>
      </c>
      <c r="ES162" s="17" t="str">
        <f>IF(VLOOKUP(BP162,Fundamentus!A:U,16,FALSE)&lt;0.1,"Ineficiente",IF(VLOOKUP(BP162,Fundamentus!A:U,16,FALSE)&gt;0.1,"Eficiente","n/a"))</f>
        <v>Eficiente</v>
      </c>
      <c r="ET162" s="33" t="str">
        <f>IF(VLOOKUP(BP162,Fundamentus!A:U,16,FALSE)&lt;0.1,"Oper. Ineficiente",IF(VLOOKUP(BP162,Fundamentus!A:U,16,FALSE)&gt;0.1,"Oper.Eficiente","n/a"))</f>
        <v>Oper.Eficiente</v>
      </c>
      <c r="EU162" s="34">
        <f>VLOOKUP(BP162,Fundamentus!A:U,14,FALSE)</f>
        <v>0.51359999999999995</v>
      </c>
      <c r="EV162" s="17" t="str">
        <f>IF(VLOOKUP(BP162,Fundamentus!A:U,21,FALSE)&lt;0,"Negativo",IF(VLOOKUP(BP162,Fundamentus!A:U,21,FALSE)&lt;0.05,"Fraco",IF(VLOOKUP(BP162,Fundamentus!A:U,21,FALSE)&lt;0.1,"Bom",IF(VLOOKUP(BP162,Fundamentus!A:U,21,FALSE)&gt;0.1,"Muito bom","n/a"))))</f>
        <v>Muito bom</v>
      </c>
      <c r="EX162" s="29" t="str">
        <f>IF(VLOOKUP(BP162,Fundamentus!A:U,15,FALSE)&gt;1,"Bom",IF(VLOOKUP(BP162,Fundamentus!A:U,15,FALSE)&lt;1,"Ruim","n/a"))</f>
        <v>Bom</v>
      </c>
      <c r="EY162" s="17" t="str">
        <f>IF(VLOOKUP(BP162,Fundamentus!A:U,20,FALSE)&lt;0.5,"Baixa",IF(VLOOKUP(BP162,Fundamentus!A:U,20,FALSE)&lt;1,"Moderada",IF(VLOOKUP(BP162,Fundamentus!A:U,20,FALSE)&lt;2,"Alerta",IF(VLOOKUP(BP162,Fundamentus!A:U,20,FALSE)&gt;2,"Alta","n/a"))))</f>
        <v>Moderada</v>
      </c>
      <c r="EZ162" s="10"/>
    </row>
    <row r="163" spans="1:156" s="2" customFormat="1" ht="11.25" x14ac:dyDescent="0.2">
      <c r="A163" s="4">
        <v>11.68</v>
      </c>
      <c r="B163" s="4">
        <v>11.81</v>
      </c>
      <c r="C163" s="4">
        <v>11.75</v>
      </c>
      <c r="D163" s="4">
        <v>12.13</v>
      </c>
      <c r="E163" s="4">
        <v>11.94</v>
      </c>
      <c r="F163" s="4">
        <v>12.1</v>
      </c>
      <c r="G163" s="4">
        <v>12.18</v>
      </c>
      <c r="H163" s="4">
        <v>12.27</v>
      </c>
      <c r="I163" s="4">
        <v>12.37</v>
      </c>
      <c r="J163" s="4">
        <v>12.35</v>
      </c>
      <c r="K163" s="4">
        <v>12.48</v>
      </c>
      <c r="L163" s="4">
        <v>12.35</v>
      </c>
      <c r="M163" s="4">
        <v>12.05</v>
      </c>
      <c r="N163" s="4">
        <v>11.79</v>
      </c>
      <c r="O163" s="4">
        <v>11.54</v>
      </c>
      <c r="P163" s="4">
        <v>11.53</v>
      </c>
      <c r="Q163" s="4">
        <v>11.59</v>
      </c>
      <c r="R163" s="4">
        <v>11.39</v>
      </c>
      <c r="S163" s="4">
        <v>11.35</v>
      </c>
      <c r="T163" s="4">
        <v>11.11</v>
      </c>
      <c r="U163" s="4">
        <v>10.6</v>
      </c>
      <c r="V163" s="4">
        <v>10.44</v>
      </c>
      <c r="W163" s="4">
        <v>10.34</v>
      </c>
      <c r="X163" s="4">
        <v>10.06</v>
      </c>
      <c r="Y163" s="4">
        <v>10.1</v>
      </c>
      <c r="Z163" s="4">
        <v>10.38</v>
      </c>
      <c r="AA163" s="4">
        <v>10.220000000000001</v>
      </c>
      <c r="AB163" s="4">
        <v>10.16</v>
      </c>
      <c r="AC163" s="4">
        <v>9.98</v>
      </c>
      <c r="AD163" s="4">
        <v>9.94</v>
      </c>
      <c r="AE163" s="4">
        <v>9.86</v>
      </c>
      <c r="AF163" s="4">
        <v>9.4600000000000009</v>
      </c>
      <c r="AG163" s="4">
        <v>9.11</v>
      </c>
      <c r="AH163" s="4">
        <v>8.77</v>
      </c>
      <c r="AI163" s="4">
        <v>8.6999999999999993</v>
      </c>
      <c r="AJ163" s="4">
        <v>8.42</v>
      </c>
      <c r="AK163" s="4">
        <v>7.88</v>
      </c>
      <c r="AL163" s="4">
        <v>7.78</v>
      </c>
      <c r="AM163" s="4">
        <v>7.6</v>
      </c>
      <c r="AN163" s="4">
        <v>8.11</v>
      </c>
      <c r="AO163" s="4">
        <v>8.14</v>
      </c>
      <c r="AP163" s="4">
        <v>8.4700000000000006</v>
      </c>
      <c r="AQ163" s="4">
        <v>8.82</v>
      </c>
      <c r="AR163" s="4">
        <v>7.79</v>
      </c>
      <c r="AS163" s="4">
        <v>8.0500000000000007</v>
      </c>
      <c r="AT163" s="4">
        <v>7.59</v>
      </c>
      <c r="AU163" s="4">
        <v>7.8849999999999998</v>
      </c>
      <c r="AV163" s="4">
        <v>7.78</v>
      </c>
      <c r="AW163" s="4">
        <v>7.65</v>
      </c>
      <c r="AX163" s="4">
        <v>7.87</v>
      </c>
      <c r="AY163" s="12">
        <v>7.9</v>
      </c>
      <c r="AZ163" s="12">
        <v>8.8699999999999992</v>
      </c>
      <c r="BA163" s="12">
        <v>8.93</v>
      </c>
      <c r="BB163" s="15">
        <v>9.31</v>
      </c>
      <c r="BC163" s="52">
        <v>9.4499999999999993</v>
      </c>
      <c r="BD163" s="52">
        <v>9.48</v>
      </c>
      <c r="BE163" s="52">
        <v>9.8800000000000008</v>
      </c>
      <c r="BF163" s="52">
        <v>9.9</v>
      </c>
      <c r="BG163" s="67">
        <v>10.02</v>
      </c>
      <c r="BH163" s="52">
        <v>9.8000000000000007</v>
      </c>
      <c r="BI163" s="52">
        <v>9.98</v>
      </c>
      <c r="BJ163" s="52">
        <v>9.8000000000000007</v>
      </c>
      <c r="BK163" s="52">
        <v>9.11</v>
      </c>
      <c r="BL163" s="52">
        <v>8.94</v>
      </c>
      <c r="BM163" s="52">
        <v>9.6</v>
      </c>
      <c r="BN163" s="52">
        <v>9.65</v>
      </c>
      <c r="BO163" s="52" cm="1">
        <f t="array" aca="1" ref="BO163" ca="1">_FV(EC163,"Preço")</f>
        <v>9.65</v>
      </c>
      <c r="BP163" s="69" t="s">
        <v>87</v>
      </c>
      <c r="BQ163" s="36" cm="1">
        <f t="array" aca="1" ref="BQ163" ca="1">_FV(EC163,"Média de volume",TRUE)</f>
        <v>3695920</v>
      </c>
      <c r="BR163" s="36">
        <v>5889200</v>
      </c>
      <c r="BS163" s="36" cm="1">
        <f t="array" aca="1" ref="BS163" ca="1">_FV(EC163,"Volume")</f>
        <v>5889200</v>
      </c>
      <c r="BT163" s="24" cm="1">
        <f t="array" aca="1" ref="BT163" ca="1">_FV(EC163,"Beta")</f>
        <v>0.58550000000000002</v>
      </c>
      <c r="BU163" s="71" cm="1">
        <f t="array" aca="1" ref="BU163" ca="1">_FV(EC163,"Variação (%)",TRUE)</f>
        <v>4.0992000000000001E-2</v>
      </c>
      <c r="BW163" s="17" cm="1">
        <f t="array" aca="1" ref="BW163" ca="1">_FV(EC163,"Baixo")</f>
        <v>9.36</v>
      </c>
      <c r="BX163" s="17" cm="1">
        <f t="array" aca="1" ref="BX163" ca="1">_FV(EC163,"Alto")</f>
        <v>9.85</v>
      </c>
      <c r="BY163" s="24"/>
      <c r="BZ163" s="63">
        <f ca="1">SQRT(22.5*(BO163/VLOOKUP(BP163,Fundamentus!A:U,3,FALSE))*(BO163/VLOOKUP(BP163,Fundamentus!A:U,4,FALSE)))</f>
        <v>1.2450275963062456</v>
      </c>
      <c r="CB163" s="62">
        <f t="shared" ca="1" si="168"/>
        <v>0</v>
      </c>
      <c r="CC163" s="8"/>
      <c r="CD163" s="61">
        <f t="shared" si="169"/>
        <v>7.59</v>
      </c>
      <c r="CE163" s="61">
        <f t="shared" si="170"/>
        <v>12.48</v>
      </c>
      <c r="CF163" s="61">
        <f t="shared" si="171"/>
        <v>9.944469696969696</v>
      </c>
      <c r="CG163" s="14"/>
      <c r="CH163" s="35">
        <f t="shared" si="154"/>
        <v>9.2279467787349905</v>
      </c>
      <c r="CI163" s="15">
        <f t="shared" si="172"/>
        <v>9.8949999999999818</v>
      </c>
      <c r="CJ163" s="35">
        <f t="shared" si="155"/>
        <v>10.562053221264973</v>
      </c>
      <c r="CL163" s="14"/>
      <c r="CM163" s="17">
        <f t="shared" si="156"/>
        <v>2.4433333333333316</v>
      </c>
      <c r="CN163" s="17">
        <f t="shared" si="157"/>
        <v>5.0166666666666657</v>
      </c>
      <c r="CO163" s="17">
        <f t="shared" si="158"/>
        <v>7.3333333333333321</v>
      </c>
      <c r="CP163" s="38">
        <f t="shared" si="173"/>
        <v>9.9066666666666663</v>
      </c>
      <c r="CQ163" s="17">
        <f t="shared" si="159"/>
        <v>12.223333333333333</v>
      </c>
      <c r="CR163" s="17">
        <f t="shared" si="160"/>
        <v>14.796666666666667</v>
      </c>
      <c r="CS163" s="17">
        <f t="shared" si="161"/>
        <v>17.113333333333333</v>
      </c>
      <c r="CT163" s="2" cm="1">
        <f t="array" aca="1" ref="CT163" ca="1">MAX(_xlfn._xlws.FILTER(CM163:CS163,CM163:CS163&lt;BO163))</f>
        <v>7.3333333333333321</v>
      </c>
      <c r="CU163" s="2" cm="1">
        <f t="array" aca="1" ref="CU163" ca="1">MIN(_xlfn._xlws.FILTER($CM163:$CS163,$CM163:$CS163&gt;BO163))</f>
        <v>9.9066666666666663</v>
      </c>
      <c r="CV163" s="16">
        <f t="shared" ca="1" si="175"/>
        <v>0.35090909090909106</v>
      </c>
      <c r="CW163" s="20">
        <f t="shared" ca="1" si="176"/>
        <v>-0.17545454545454553</v>
      </c>
      <c r="CX163" s="20">
        <f t="shared" ca="1" si="177"/>
        <v>-0.11696969696969702</v>
      </c>
      <c r="CY163" s="20">
        <f t="shared" ca="1" si="178"/>
        <v>-7.0181818181818206E-2</v>
      </c>
      <c r="CZ163" s="20">
        <f t="shared" ca="1" si="179"/>
        <v>-3.8989898989899005E-2</v>
      </c>
      <c r="DA163" s="20">
        <f t="shared" ca="1" si="180"/>
        <v>-2.0641711229946534E-2</v>
      </c>
      <c r="DB163" s="20">
        <f t="shared" ca="1" si="181"/>
        <v>-1.0633608815427001E-2</v>
      </c>
      <c r="DC163" s="20">
        <f t="shared" ca="1" si="182"/>
        <v>-5.3986013986014013E-3</v>
      </c>
      <c r="DD163" s="21">
        <f t="shared" ca="1" si="183"/>
        <v>5.3986013986014013E-3</v>
      </c>
      <c r="DE163" s="21">
        <f t="shared" ca="1" si="184"/>
        <v>1.0633608815427001E-2</v>
      </c>
      <c r="DF163" s="21">
        <f t="shared" ca="1" si="185"/>
        <v>2.0641711229946534E-2</v>
      </c>
      <c r="DG163" s="21">
        <f t="shared" ca="1" si="186"/>
        <v>3.8989898989899005E-2</v>
      </c>
      <c r="DH163" s="21">
        <f t="shared" ca="1" si="187"/>
        <v>7.0181818181818206E-2</v>
      </c>
      <c r="DI163" s="21">
        <f t="shared" ca="1" si="188"/>
        <v>0.11696969696969702</v>
      </c>
      <c r="DJ163" s="21">
        <f t="shared" ca="1" si="189"/>
        <v>0.17545454545454553</v>
      </c>
      <c r="DL163" s="16" cm="1">
        <f t="array" aca="1" ref="DL163" ca="1">MAX(_xlfn._xlws.FILTER(CW163:DJ163,CW163:DJ163&lt;BU163))</f>
        <v>3.8989898989899005E-2</v>
      </c>
      <c r="DM163" s="16" cm="1">
        <f t="array" aca="1" ref="DM163" ca="1">MIN(_xlfn._xlws.FILTER(CW163:DJ163,CW163:DJ163&gt;BU163))</f>
        <v>7.0181818181818206E-2</v>
      </c>
      <c r="DN163" s="2" cm="1">
        <f t="array" aca="1" ref="DN163" ca="1">_FV(EC163,"Fechamento anterior",TRUE)</f>
        <v>9.27</v>
      </c>
      <c r="DO163" s="28">
        <f t="shared" ca="1" si="162"/>
        <v>6.4200915539015316E-2</v>
      </c>
      <c r="DP163" s="15">
        <f t="shared" ca="1" si="190"/>
        <v>9.6314363636363627</v>
      </c>
      <c r="DQ163" s="15">
        <f t="shared" ca="1" si="191"/>
        <v>9.9205854545454546</v>
      </c>
      <c r="DR163" s="9"/>
      <c r="DS163" s="9"/>
      <c r="DT163" s="9"/>
      <c r="DU163" s="89">
        <v>1.1682595115968466E-2</v>
      </c>
      <c r="DV163" s="89">
        <f t="shared" ca="1" si="163"/>
        <v>3.1191919191919201E-2</v>
      </c>
      <c r="DW163" s="72">
        <f t="shared" ca="1" si="164"/>
        <v>-0.36728703526139417</v>
      </c>
      <c r="DX163" s="37"/>
      <c r="DY163" s="35">
        <f t="shared" si="174"/>
        <v>0.3335266106324955</v>
      </c>
      <c r="DZ163" s="56"/>
      <c r="EA163" s="56"/>
      <c r="EC163" s="2" t="e" vm="165">
        <v>#VALUE!</v>
      </c>
      <c r="EE163" s="10" cm="1">
        <f t="array" aca="1" ref="EE163" ca="1">_FV(EC163,"Ações em circulação",TRUE)</f>
        <v>1050378000</v>
      </c>
      <c r="EF163" s="18">
        <f>VLOOKUP(BP163,Fundamentus!A:U,5,FALSE)</f>
        <v>1.0620000000000001</v>
      </c>
      <c r="EG163" s="2">
        <f t="shared" ca="1" si="165"/>
        <v>9544395197.7401123</v>
      </c>
      <c r="EH163" s="17">
        <v>71582963.983050838</v>
      </c>
      <c r="EI163" s="17">
        <f t="shared" ca="1" si="166"/>
        <v>71582963.983050838</v>
      </c>
      <c r="EK163" s="16">
        <f t="shared" ca="1" si="153"/>
        <v>0</v>
      </c>
      <c r="EL163" s="32" t="str">
        <f>IF(VLOOKUP(BP163,Fundamentus!A:U,3,FALSE)&lt;15,"Bom",IF(VLOOKUP(BP163,Fundamentus!A:U,3,FALSE)&gt;15,"Ruim","n/a"))</f>
        <v>Ruim</v>
      </c>
      <c r="EM163" s="28" t="str">
        <f>IF(VLOOKUP(BP163,Fundamentus!A:U,4,FALSE)&lt;1,"Baixo",IF(VLOOKUP(BP163,Fundamentus!A:U,4,FALSE)&lt;1.5,"Moderado",IF(VLOOKUP(BP163,Fundamentus!A:U,4,FALSE)&gt;1.5,"Alto","n/a")))</f>
        <v>Baixo</v>
      </c>
      <c r="EN163" s="17" t="str">
        <f>IF(VLOOKUP(BP163,Fundamentus!A:U,8,FALSE)&lt;0,"Risco elevado",IF(VLOOKUP(BP163,Fundamentus!A:U,8,FALSE)&lt;1,"Saudável",IF(VLOOKUP(BP163,Fundamentus!A:U,8,FALSE)&lt;3,"Estável",IF(VLOOKUP(BP163,Fundamentus!A:U,8,FALSE)&gt;3,"Alerta","n/a"))))</f>
        <v>Estável</v>
      </c>
      <c r="EO163" s="28" t="str">
        <f t="shared" si="167"/>
        <v>Bom</v>
      </c>
      <c r="EP163" s="17" t="str">
        <f>IF(VLOOKUP(BP163,Fundamentus!A:U,12,FALSE)&lt;2,"Subvalorizada",IF(VLOOKUP(BP163,Fundamentus!A:U,12,FALSE)&lt;6,"Muita barata",IF(VLOOKUP(BP163,Fundamentus!A:U,12,FALSE)&lt;6,"Barata",IF(VLOOKUP(BP163,Fundamentus!A:U,12,FALSE)&lt;8,"Atrativa",IF(VLOOKUP(BP163,Fundamentus!A:U,12,FALSE)&gt;8,"Supervalorizada","n/a")))))</f>
        <v>Supervalorizada</v>
      </c>
      <c r="ER163" s="17" t="str">
        <f>IF(VLOOKUP(BP163,Fundamentus!A:U,17,FALSE)&lt;0.1,"Fraco retorno",IF(VLOOKUP(BP163,Fundamentus!A:U,17,FALSE)&gt;0.1,"Bom retorno","n/a"))</f>
        <v>Fraco retorno</v>
      </c>
      <c r="ES163" s="17" t="str">
        <f>IF(VLOOKUP(BP163,Fundamentus!A:U,16,FALSE)&lt;0.1,"Ineficiente",IF(VLOOKUP(BP163,Fundamentus!A:U,16,FALSE)&gt;0.1,"Eficiente","n/a"))</f>
        <v>Ineficiente</v>
      </c>
      <c r="ET163" s="33" t="str">
        <f>IF(VLOOKUP(BP163,Fundamentus!A:U,16,FALSE)&lt;0.1,"Oper. Ineficiente",IF(VLOOKUP(BP163,Fundamentus!A:U,16,FALSE)&gt;0.1,"Oper.Eficiente","n/a"))</f>
        <v>Oper. Ineficiente</v>
      </c>
      <c r="EU163" s="34">
        <f>VLOOKUP(BP163,Fundamentus!A:U,14,FALSE)</f>
        <v>7.4999999999999997E-3</v>
      </c>
      <c r="EV163" s="17" t="str">
        <f>IF(VLOOKUP(BP163,Fundamentus!A:U,21,FALSE)&lt;0,"Negativo",IF(VLOOKUP(BP163,Fundamentus!A:U,21,FALSE)&lt;0.05,"Fraco",IF(VLOOKUP(BP163,Fundamentus!A:U,21,FALSE)&lt;0.1,"Bom",IF(VLOOKUP(BP163,Fundamentus!A:U,21,FALSE)&gt;0.1,"Muito bom","n/a"))))</f>
        <v>Muito bom</v>
      </c>
      <c r="EX163" s="29" t="str">
        <f>IF(VLOOKUP(BP163,Fundamentus!A:U,15,FALSE)&gt;1,"Bom",IF(VLOOKUP(BP163,Fundamentus!A:U,15,FALSE)&lt;1,"Ruim","n/a"))</f>
        <v>Bom</v>
      </c>
      <c r="EY163" s="17" t="str">
        <f>IF(VLOOKUP(BP163,Fundamentus!A:U,20,FALSE)&lt;0.5,"Baixa",IF(VLOOKUP(BP163,Fundamentus!A:U,20,FALSE)&lt;1,"Moderada",IF(VLOOKUP(BP163,Fundamentus!A:U,20,FALSE)&lt;2,"Alerta",IF(VLOOKUP(BP163,Fundamentus!A:U,20,FALSE)&gt;2,"Alta","n/a"))))</f>
        <v>Alerta</v>
      </c>
      <c r="EZ163" s="10"/>
    </row>
    <row r="164" spans="1:156" s="2" customFormat="1" ht="11.25" x14ac:dyDescent="0.2">
      <c r="A164" s="4">
        <v>26.61</v>
      </c>
      <c r="B164" s="4">
        <v>25.21</v>
      </c>
      <c r="C164" s="4">
        <v>24.31</v>
      </c>
      <c r="D164" s="4">
        <v>23.48</v>
      </c>
      <c r="E164" s="4">
        <v>23.15</v>
      </c>
      <c r="F164" s="4">
        <v>22.62</v>
      </c>
      <c r="G164" s="4">
        <v>21.47</v>
      </c>
      <c r="H164" s="4">
        <v>22.02</v>
      </c>
      <c r="I164" s="4">
        <v>23.68</v>
      </c>
      <c r="J164" s="4">
        <v>24.92</v>
      </c>
      <c r="K164" s="4">
        <v>25.57</v>
      </c>
      <c r="L164" s="4">
        <v>25.64</v>
      </c>
      <c r="M164" s="4">
        <v>25.13</v>
      </c>
      <c r="N164" s="4">
        <v>24.79</v>
      </c>
      <c r="O164" s="4">
        <v>25.38</v>
      </c>
      <c r="P164" s="4">
        <v>27.05</v>
      </c>
      <c r="Q164" s="4">
        <v>27.58</v>
      </c>
      <c r="R164" s="4">
        <v>27.36</v>
      </c>
      <c r="S164" s="4">
        <v>27.03</v>
      </c>
      <c r="T164" s="4">
        <v>27.24</v>
      </c>
      <c r="U164" s="4">
        <v>26.34</v>
      </c>
      <c r="V164" s="4">
        <v>25.38</v>
      </c>
      <c r="W164" s="4">
        <v>25.3</v>
      </c>
      <c r="X164" s="4">
        <v>24.3</v>
      </c>
      <c r="Y164" s="4">
        <v>23.13</v>
      </c>
      <c r="Z164" s="4">
        <v>23.25</v>
      </c>
      <c r="AA164" s="4">
        <v>23.11</v>
      </c>
      <c r="AB164" s="4">
        <v>23.67</v>
      </c>
      <c r="AC164" s="4">
        <v>22.31</v>
      </c>
      <c r="AD164" s="4">
        <v>21.71</v>
      </c>
      <c r="AE164" s="4">
        <v>20.84</v>
      </c>
      <c r="AF164" s="4">
        <v>22.4</v>
      </c>
      <c r="AG164" s="4">
        <v>23.07</v>
      </c>
      <c r="AH164" s="4">
        <v>22.69</v>
      </c>
      <c r="AI164" s="4">
        <v>23.2</v>
      </c>
      <c r="AJ164" s="4">
        <v>21.36</v>
      </c>
      <c r="AK164" s="4">
        <v>21.28</v>
      </c>
      <c r="AL164" s="4">
        <v>21.74</v>
      </c>
      <c r="AM164" s="4">
        <v>21.69</v>
      </c>
      <c r="AN164" s="4">
        <v>21.38</v>
      </c>
      <c r="AO164" s="4">
        <v>20.65</v>
      </c>
      <c r="AP164" s="4">
        <v>21.32</v>
      </c>
      <c r="AQ164" s="4">
        <v>20.88</v>
      </c>
      <c r="AR164" s="4">
        <v>20.6</v>
      </c>
      <c r="AS164" s="4">
        <v>21.31</v>
      </c>
      <c r="AT164" s="4">
        <v>21.33</v>
      </c>
      <c r="AU164" s="4">
        <v>19.094999999999999</v>
      </c>
      <c r="AV164" s="4">
        <v>18</v>
      </c>
      <c r="AW164" s="4">
        <v>17.5</v>
      </c>
      <c r="AX164" s="4">
        <v>18.940000000000001</v>
      </c>
      <c r="AY164" s="12">
        <v>23.53</v>
      </c>
      <c r="AZ164" s="12">
        <v>22.75</v>
      </c>
      <c r="BA164" s="12">
        <v>21.45</v>
      </c>
      <c r="BB164" s="15">
        <v>19.82</v>
      </c>
      <c r="BC164" s="52">
        <v>18.7</v>
      </c>
      <c r="BD164" s="52">
        <v>18.93</v>
      </c>
      <c r="BE164" s="52">
        <v>19.25</v>
      </c>
      <c r="BF164" s="52">
        <v>18.48</v>
      </c>
      <c r="BG164" s="67">
        <v>19.079999999999998</v>
      </c>
      <c r="BH164" s="52">
        <v>18.190000000000001</v>
      </c>
      <c r="BI164" s="52">
        <v>18.2</v>
      </c>
      <c r="BJ164" s="52">
        <v>18.07</v>
      </c>
      <c r="BK164" s="52">
        <v>17.7</v>
      </c>
      <c r="BL164" s="52">
        <v>16.98</v>
      </c>
      <c r="BM164" s="52">
        <v>16.760000000000002</v>
      </c>
      <c r="BN164" s="52">
        <v>16.04</v>
      </c>
      <c r="BO164" s="52" cm="1">
        <f t="array" aca="1" ref="BO164" ca="1">_FV(EC164,"Preço")</f>
        <v>16.04</v>
      </c>
      <c r="BP164" s="69" t="s">
        <v>160</v>
      </c>
      <c r="BQ164" s="36" cm="1">
        <f t="array" aca="1" ref="BQ164" ca="1">_FV(EC164,"Média de volume",TRUE)</f>
        <v>496420</v>
      </c>
      <c r="BR164" s="36">
        <v>652200</v>
      </c>
      <c r="BS164" s="36" cm="1">
        <f t="array" aca="1" ref="BS164" ca="1">_FV(EC164,"Volume")</f>
        <v>652200</v>
      </c>
      <c r="BT164" s="24" cm="1">
        <f t="array" aca="1" ref="BT164" ca="1">_FV(EC164,"Beta")</f>
        <v>0.55989999999999995</v>
      </c>
      <c r="BU164" s="71" cm="1">
        <f t="array" aca="1" ref="BU164" ca="1">_FV(EC164,"Variação (%)",TRUE)</f>
        <v>-4.3449999999999999E-3</v>
      </c>
      <c r="BW164" s="17" cm="1">
        <f t="array" aca="1" ref="BW164" ca="1">_FV(EC164,"Baixo")</f>
        <v>16</v>
      </c>
      <c r="BX164" s="17" cm="1">
        <f t="array" aca="1" ref="BX164" ca="1">_FV(EC164,"Alto")</f>
        <v>16.489999999999998</v>
      </c>
      <c r="BY164" s="24"/>
      <c r="BZ164" s="63" t="e">
        <f ca="1">SQRT(22.5*(BO164/VLOOKUP(BP164,Fundamentus!A:U,3,FALSE))*(BO164/VLOOKUP(BP164,Fundamentus!A:U,4,FALSE)))</f>
        <v>#NUM!</v>
      </c>
      <c r="CB164" s="62">
        <f t="shared" ca="1" si="168"/>
        <v>0</v>
      </c>
      <c r="CC164" s="8"/>
      <c r="CD164" s="61">
        <f t="shared" si="169"/>
        <v>16.04</v>
      </c>
      <c r="CE164" s="61">
        <f t="shared" si="170"/>
        <v>27.58</v>
      </c>
      <c r="CF164" s="61">
        <f t="shared" si="171"/>
        <v>22.15068181818182</v>
      </c>
      <c r="CG164" s="14"/>
      <c r="CH164" s="35">
        <f t="shared" si="154"/>
        <v>14.140594529183712</v>
      </c>
      <c r="CI164" s="15">
        <f t="shared" si="172"/>
        <v>15.570000000000164</v>
      </c>
      <c r="CJ164" s="35">
        <f t="shared" si="155"/>
        <v>16.999405470816615</v>
      </c>
      <c r="CL164" s="14"/>
      <c r="CM164" s="17">
        <f t="shared" si="156"/>
        <v>0.65333333333333599</v>
      </c>
      <c r="CN164" s="17">
        <f t="shared" si="157"/>
        <v>8.3466666666666676</v>
      </c>
      <c r="CO164" s="17">
        <f t="shared" si="158"/>
        <v>12.193333333333335</v>
      </c>
      <c r="CP164" s="38">
        <f t="shared" si="173"/>
        <v>19.886666666666667</v>
      </c>
      <c r="CQ164" s="17">
        <f t="shared" si="159"/>
        <v>23.733333333333334</v>
      </c>
      <c r="CR164" s="17">
        <f t="shared" si="160"/>
        <v>31.426666666666666</v>
      </c>
      <c r="CS164" s="17">
        <f t="shared" si="161"/>
        <v>35.273333333333333</v>
      </c>
      <c r="CT164" s="2" cm="1">
        <f t="array" aca="1" ref="CT164" ca="1">MAX(_xlfn._xlws.FILTER(CM164:CS164,CM164:CS164&lt;BO164))</f>
        <v>12.193333333333335</v>
      </c>
      <c r="CU164" s="2" cm="1">
        <f t="array" aca="1" ref="CU164" ca="1">MIN(_xlfn._xlws.FILTER($CM164:$CS164,$CM164:$CS164&gt;BO164))</f>
        <v>19.886666666666667</v>
      </c>
      <c r="CV164" s="16">
        <f t="shared" ca="1" si="175"/>
        <v>0.63094587206123531</v>
      </c>
      <c r="CW164" s="20">
        <f t="shared" ca="1" si="176"/>
        <v>-0.31547293603061766</v>
      </c>
      <c r="CX164" s="20">
        <f t="shared" ca="1" si="177"/>
        <v>-0.21031529068707844</v>
      </c>
      <c r="CY164" s="20">
        <f t="shared" ca="1" si="178"/>
        <v>-0.12618917441224706</v>
      </c>
      <c r="CZ164" s="20">
        <f t="shared" ca="1" si="179"/>
        <v>-7.0105096895692817E-2</v>
      </c>
      <c r="DA164" s="20">
        <f t="shared" ca="1" si="180"/>
        <v>-3.7114463062425607E-2</v>
      </c>
      <c r="DB164" s="20">
        <f t="shared" ca="1" si="181"/>
        <v>-1.9119571880643494E-2</v>
      </c>
      <c r="DC164" s="20">
        <f t="shared" ca="1" si="182"/>
        <v>-9.7068595701728516E-3</v>
      </c>
      <c r="DD164" s="21">
        <f t="shared" ca="1" si="183"/>
        <v>9.7068595701728516E-3</v>
      </c>
      <c r="DE164" s="21">
        <f t="shared" ca="1" si="184"/>
        <v>1.9119571880643494E-2</v>
      </c>
      <c r="DF164" s="21">
        <f t="shared" ca="1" si="185"/>
        <v>3.7114463062425607E-2</v>
      </c>
      <c r="DG164" s="21">
        <f t="shared" ca="1" si="186"/>
        <v>7.0105096895692817E-2</v>
      </c>
      <c r="DH164" s="21">
        <f t="shared" ca="1" si="187"/>
        <v>0.12618917441224706</v>
      </c>
      <c r="DI164" s="21">
        <f t="shared" ca="1" si="188"/>
        <v>0.21031529068707844</v>
      </c>
      <c r="DJ164" s="21">
        <f t="shared" ca="1" si="189"/>
        <v>0.31547293603061766</v>
      </c>
      <c r="DL164" s="16" cm="1">
        <f t="array" aca="1" ref="DL164" ca="1">MAX(_xlfn._xlws.FILTER(CW164:DJ164,CW164:DJ164&lt;BU164))</f>
        <v>-9.7068595701728516E-3</v>
      </c>
      <c r="DM164" s="16" cm="1">
        <f t="array" aca="1" ref="DM164" ca="1">MIN(_xlfn._xlws.FILTER(CW164:DJ164,CW164:DJ164&gt;BU164))</f>
        <v>9.7068595701728516E-3</v>
      </c>
      <c r="DN164" s="2" cm="1">
        <f t="array" aca="1" ref="DN164" ca="1">_FV(EC164,"Fechamento anterior",TRUE)</f>
        <v>16.11</v>
      </c>
      <c r="DO164" s="28">
        <f t="shared" ca="1" si="162"/>
        <v>0.27618264595550379</v>
      </c>
      <c r="DP164" s="15">
        <f t="shared" ca="1" si="190"/>
        <v>15.953622492324515</v>
      </c>
      <c r="DQ164" s="15">
        <f t="shared" ca="1" si="191"/>
        <v>16.266377507675482</v>
      </c>
      <c r="DR164" s="9"/>
      <c r="DS164" s="9"/>
      <c r="DT164" s="9"/>
      <c r="DU164" s="89">
        <v>8.0088332719911604E-3</v>
      </c>
      <c r="DV164" s="89">
        <f t="shared" ca="1" si="163"/>
        <v>1.9413719140345703E-2</v>
      </c>
      <c r="DW164" s="72">
        <f t="shared" ca="1" si="164"/>
        <v>0.32880803214736515</v>
      </c>
      <c r="DX164" s="37"/>
      <c r="DY164" s="35">
        <f t="shared" si="174"/>
        <v>0.71470273540822549</v>
      </c>
      <c r="DZ164" s="56"/>
      <c r="EA164" s="56"/>
      <c r="EC164" s="2" t="e" vm="166">
        <v>#VALUE!</v>
      </c>
      <c r="EE164" s="10" cm="1">
        <f t="array" aca="1" ref="EE164" ca="1">_FV(EC164,"Ações em circulação",TRUE)</f>
        <v>144177500</v>
      </c>
      <c r="EF164" s="18">
        <f>VLOOKUP(BP164,Fundamentus!A:U,5,FALSE)</f>
        <v>0.216</v>
      </c>
      <c r="EG164" s="2">
        <f t="shared" ca="1" si="165"/>
        <v>10706514351.851852</v>
      </c>
      <c r="EH164" s="17">
        <v>-44967360.277777776</v>
      </c>
      <c r="EI164" s="17">
        <f t="shared" ca="1" si="166"/>
        <v>-44967360.277777776</v>
      </c>
      <c r="EK164" s="16">
        <f t="shared" ca="1" si="153"/>
        <v>0</v>
      </c>
      <c r="EL164" s="32" t="str">
        <f>IF(VLOOKUP(BP164,Fundamentus!A:U,3,FALSE)&lt;15,"Bom",IF(VLOOKUP(BP164,Fundamentus!A:U,3,FALSE)&gt;15,"Ruim","n/a"))</f>
        <v>Bom</v>
      </c>
      <c r="EM164" s="28" t="str">
        <f>IF(VLOOKUP(BP164,Fundamentus!A:U,4,FALSE)&lt;1,"Baixo",IF(VLOOKUP(BP164,Fundamentus!A:U,4,FALSE)&lt;1.5,"Moderado",IF(VLOOKUP(BP164,Fundamentus!A:U,4,FALSE)&gt;1.5,"Alto","n/a")))</f>
        <v>Baixo</v>
      </c>
      <c r="EN164" s="17" t="str">
        <f>IF(VLOOKUP(BP164,Fundamentus!A:U,8,FALSE)&lt;0,"Risco elevado",IF(VLOOKUP(BP164,Fundamentus!A:U,8,FALSE)&lt;1,"Saudável",IF(VLOOKUP(BP164,Fundamentus!A:U,8,FALSE)&lt;3,"Estável",IF(VLOOKUP(BP164,Fundamentus!A:U,8,FALSE)&gt;3,"Alerta","n/a"))))</f>
        <v>Saudável</v>
      </c>
      <c r="EO164" s="28" t="str">
        <f t="shared" si="167"/>
        <v>Ruim</v>
      </c>
      <c r="EP164" s="17" t="str">
        <f>IF(VLOOKUP(BP164,Fundamentus!A:U,12,FALSE)&lt;2,"Subvalorizada",IF(VLOOKUP(BP164,Fundamentus!A:U,12,FALSE)&lt;6,"Muita barata",IF(VLOOKUP(BP164,Fundamentus!A:U,12,FALSE)&lt;6,"Barata",IF(VLOOKUP(BP164,Fundamentus!A:U,12,FALSE)&lt;8,"Atrativa",IF(VLOOKUP(BP164,Fundamentus!A:U,12,FALSE)&gt;8,"Supervalorizada","n/a")))))</f>
        <v>Muita barata</v>
      </c>
      <c r="ER164" s="17" t="str">
        <f>IF(VLOOKUP(BP164,Fundamentus!A:U,17,FALSE)&lt;0.1,"Fraco retorno",IF(VLOOKUP(BP164,Fundamentus!A:U,17,FALSE)&gt;0.1,"Bom retorno","n/a"))</f>
        <v>Fraco retorno</v>
      </c>
      <c r="ES164" s="17" t="str">
        <f>IF(VLOOKUP(BP164,Fundamentus!A:U,16,FALSE)&lt;0.1,"Ineficiente",IF(VLOOKUP(BP164,Fundamentus!A:U,16,FALSE)&gt;0.1,"Eficiente","n/a"))</f>
        <v>Eficiente</v>
      </c>
      <c r="ET164" s="33" t="str">
        <f>IF(VLOOKUP(BP164,Fundamentus!A:U,16,FALSE)&lt;0.1,"Oper. Ineficiente",IF(VLOOKUP(BP164,Fundamentus!A:U,16,FALSE)&gt;0.1,"Oper.Eficiente","n/a"))</f>
        <v>Oper.Eficiente</v>
      </c>
      <c r="EU164" s="34">
        <f>VLOOKUP(BP164,Fundamentus!A:U,14,FALSE)</f>
        <v>-4.1999999999999997E-3</v>
      </c>
      <c r="EV164" s="17" t="str">
        <f>IF(VLOOKUP(BP164,Fundamentus!A:U,21,FALSE)&lt;0,"Negativo",IF(VLOOKUP(BP164,Fundamentus!A:U,21,FALSE)&lt;0.05,"Fraco",IF(VLOOKUP(BP164,Fundamentus!A:U,21,FALSE)&lt;0.1,"Bom",IF(VLOOKUP(BP164,Fundamentus!A:U,21,FALSE)&gt;0.1,"Muito bom","n/a"))))</f>
        <v>Muito bom</v>
      </c>
      <c r="EX164" s="29" t="str">
        <f>IF(VLOOKUP(BP164,Fundamentus!A:U,15,FALSE)&gt;1,"Bom",IF(VLOOKUP(BP164,Fundamentus!A:U,15,FALSE)&lt;1,"Ruim","n/a"))</f>
        <v>Bom</v>
      </c>
      <c r="EY164" s="17" t="str">
        <f>IF(VLOOKUP(BP164,Fundamentus!A:U,20,FALSE)&lt;0.5,"Baixa",IF(VLOOKUP(BP164,Fundamentus!A:U,20,FALSE)&lt;1,"Moderada",IF(VLOOKUP(BP164,Fundamentus!A:U,20,FALSE)&lt;2,"Alerta",IF(VLOOKUP(BP164,Fundamentus!A:U,20,FALSE)&gt;2,"Alta","n/a"))))</f>
        <v>Alerta</v>
      </c>
      <c r="EZ164" s="10"/>
    </row>
    <row r="165" spans="1:156" s="2" customFormat="1" ht="11.25" x14ac:dyDescent="0.2">
      <c r="A165" s="4">
        <v>25.7</v>
      </c>
      <c r="B165" s="4">
        <v>24.99</v>
      </c>
      <c r="C165" s="4">
        <v>23.99</v>
      </c>
      <c r="D165" s="4">
        <v>24.02</v>
      </c>
      <c r="E165" s="4">
        <v>25.9</v>
      </c>
      <c r="F165" s="4">
        <v>23.39</v>
      </c>
      <c r="G165" s="4">
        <v>22.54</v>
      </c>
      <c r="H165" s="4">
        <v>22.44</v>
      </c>
      <c r="I165" s="4">
        <v>23.83</v>
      </c>
      <c r="J165" s="4">
        <v>23.2</v>
      </c>
      <c r="K165" s="4">
        <v>22.72</v>
      </c>
      <c r="L165" s="4">
        <v>22.12</v>
      </c>
      <c r="M165" s="4">
        <v>23.5</v>
      </c>
      <c r="N165" s="4">
        <v>24.08</v>
      </c>
      <c r="O165" s="4">
        <v>23.39</v>
      </c>
      <c r="P165" s="4">
        <v>23.89</v>
      </c>
      <c r="Q165" s="4">
        <v>23</v>
      </c>
      <c r="R165" s="4">
        <v>24.8</v>
      </c>
      <c r="S165" s="4">
        <v>23.11</v>
      </c>
      <c r="T165" s="4">
        <v>23.2</v>
      </c>
      <c r="U165" s="4">
        <v>22.5</v>
      </c>
      <c r="V165" s="4">
        <v>22.58</v>
      </c>
      <c r="W165" s="4">
        <v>23.49</v>
      </c>
      <c r="X165" s="4">
        <v>21.95</v>
      </c>
      <c r="Y165" s="4">
        <v>21.2</v>
      </c>
      <c r="Z165" s="4">
        <v>20.98</v>
      </c>
      <c r="AA165" s="4">
        <v>22.02</v>
      </c>
      <c r="AB165" s="4">
        <v>20.8</v>
      </c>
      <c r="AC165" s="4">
        <v>20.21</v>
      </c>
      <c r="AD165" s="4">
        <v>20.6</v>
      </c>
      <c r="AE165" s="4">
        <v>20.59</v>
      </c>
      <c r="AF165" s="4">
        <v>19.27</v>
      </c>
      <c r="AG165" s="4">
        <v>19.11</v>
      </c>
      <c r="AH165" s="4">
        <v>19.59</v>
      </c>
      <c r="AI165" s="4">
        <v>20.84</v>
      </c>
      <c r="AJ165" s="4">
        <v>16.989999999999998</v>
      </c>
      <c r="AK165" s="4">
        <v>16.170000000000002</v>
      </c>
      <c r="AL165" s="4">
        <v>15.83</v>
      </c>
      <c r="AM165" s="4">
        <v>16.579999999999998</v>
      </c>
      <c r="AN165" s="4">
        <v>18.86</v>
      </c>
      <c r="AO165" s="4">
        <v>17.77</v>
      </c>
      <c r="AP165" s="4">
        <v>17.059999999999999</v>
      </c>
      <c r="AQ165" s="4">
        <v>17.45</v>
      </c>
      <c r="AR165" s="4">
        <v>18.77</v>
      </c>
      <c r="AS165" s="4">
        <v>17.7</v>
      </c>
      <c r="AT165" s="4">
        <v>18.010000000000002</v>
      </c>
      <c r="AU165" s="4">
        <v>17.89</v>
      </c>
      <c r="AV165" s="4">
        <v>18.399999999999999</v>
      </c>
      <c r="AW165" s="4">
        <v>16.760000000000002</v>
      </c>
      <c r="AX165" s="4">
        <v>16.41</v>
      </c>
      <c r="AY165" s="12">
        <v>16.7</v>
      </c>
      <c r="AZ165" s="12">
        <v>17.73</v>
      </c>
      <c r="BA165" s="12">
        <v>18.47</v>
      </c>
      <c r="BB165" s="15">
        <v>17.899999999999999</v>
      </c>
      <c r="BC165" s="52">
        <v>17.600000000000001</v>
      </c>
      <c r="BD165" s="52">
        <v>17.2</v>
      </c>
      <c r="BE165" s="52">
        <v>17</v>
      </c>
      <c r="BF165" s="52">
        <v>16.739999999999998</v>
      </c>
      <c r="BG165" s="67">
        <v>16.989999999999998</v>
      </c>
      <c r="BH165" s="52">
        <v>16.93</v>
      </c>
      <c r="BI165" s="52">
        <v>17.04</v>
      </c>
      <c r="BJ165" s="52">
        <v>17.14</v>
      </c>
      <c r="BK165" s="52">
        <v>16.61</v>
      </c>
      <c r="BL165" s="52">
        <v>16.809999999999999</v>
      </c>
      <c r="BM165" s="52">
        <v>16.68</v>
      </c>
      <c r="BN165" s="52">
        <v>18</v>
      </c>
      <c r="BO165" s="52" cm="1">
        <f t="array" aca="1" ref="BO165" ca="1">_FV(EC165,"Preço")</f>
        <v>18</v>
      </c>
      <c r="BP165" s="69" t="s">
        <v>161</v>
      </c>
      <c r="BQ165" s="36" cm="1">
        <f t="array" aca="1" ref="BQ165" ca="1">_FV(EC165,"Média de volume",TRUE)</f>
        <v>52830</v>
      </c>
      <c r="BR165" s="36">
        <v>46700</v>
      </c>
      <c r="BS165" s="36" cm="1">
        <f t="array" aca="1" ref="BS165" ca="1">_FV(EC165,"Volume")</f>
        <v>46700</v>
      </c>
      <c r="BT165" s="24" cm="1">
        <f t="array" aca="1" ref="BT165" ca="1">_FV(EC165,"Beta")</f>
        <v>0.95</v>
      </c>
      <c r="BU165" s="71" cm="1">
        <f t="array" aca="1" ref="BU165" ca="1">_FV(EC165,"Variação (%)",TRUE)</f>
        <v>-2.7027000000000002E-2</v>
      </c>
      <c r="BW165" s="17" cm="1">
        <f t="array" aca="1" ref="BW165" ca="1">_FV(EC165,"Baixo")</f>
        <v>17.95</v>
      </c>
      <c r="BX165" s="17" cm="1">
        <f t="array" aca="1" ref="BX165" ca="1">_FV(EC165,"Alto")</f>
        <v>18.39</v>
      </c>
      <c r="BY165" s="24"/>
      <c r="BZ165" s="63" t="e">
        <f ca="1">SQRT(22.5*(BO165/VLOOKUP(BP165,Fundamentus!A:U,3,FALSE))*(BO165/VLOOKUP(BP165,Fundamentus!A:U,4,FALSE)))</f>
        <v>#NUM!</v>
      </c>
      <c r="CB165" s="62">
        <f t="shared" ca="1" si="168"/>
        <v>0</v>
      </c>
      <c r="CC165" s="8"/>
      <c r="CD165" s="61">
        <f t="shared" si="169"/>
        <v>15.83</v>
      </c>
      <c r="CE165" s="61">
        <f t="shared" si="170"/>
        <v>25.9</v>
      </c>
      <c r="CF165" s="61">
        <f t="shared" si="171"/>
        <v>20.086818181818188</v>
      </c>
      <c r="CG165" s="14"/>
      <c r="CH165" s="35">
        <f t="shared" si="154"/>
        <v>17.015713975373266</v>
      </c>
      <c r="CI165" s="15">
        <f t="shared" si="172"/>
        <v>18.035000000000309</v>
      </c>
      <c r="CJ165" s="35">
        <f t="shared" si="155"/>
        <v>19.054286024627352</v>
      </c>
      <c r="CL165" s="14"/>
      <c r="CM165" s="17">
        <f t="shared" si="156"/>
        <v>3.8500000000000032</v>
      </c>
      <c r="CN165" s="17">
        <f t="shared" si="157"/>
        <v>9.8400000000000016</v>
      </c>
      <c r="CO165" s="17">
        <f t="shared" si="158"/>
        <v>13.920000000000002</v>
      </c>
      <c r="CP165" s="38">
        <f t="shared" si="173"/>
        <v>19.91</v>
      </c>
      <c r="CQ165" s="17">
        <f t="shared" si="159"/>
        <v>23.990000000000002</v>
      </c>
      <c r="CR165" s="17">
        <f t="shared" si="160"/>
        <v>29.979999999999997</v>
      </c>
      <c r="CS165" s="17">
        <f t="shared" si="161"/>
        <v>34.06</v>
      </c>
      <c r="CT165" s="2" cm="1">
        <f t="array" aca="1" ref="CT165" ca="1">MAX(_xlfn._xlws.FILTER(CM165:CS165,CM165:CS165&lt;BO165))</f>
        <v>13.920000000000002</v>
      </c>
      <c r="CU165" s="2" cm="1">
        <f t="array" aca="1" ref="CU165" ca="1">MIN(_xlfn._xlws.FILTER($CM165:$CS165,$CM165:$CS165&gt;BO165))</f>
        <v>19.91</v>
      </c>
      <c r="CV165" s="16">
        <f t="shared" ca="1" si="175"/>
        <v>0.43031609195402276</v>
      </c>
      <c r="CW165" s="20">
        <f t="shared" ca="1" si="176"/>
        <v>-0.21515804597701138</v>
      </c>
      <c r="CX165" s="20">
        <f t="shared" ca="1" si="177"/>
        <v>-0.1434386973180076</v>
      </c>
      <c r="CY165" s="20">
        <f t="shared" ca="1" si="178"/>
        <v>-8.6063218390804552E-2</v>
      </c>
      <c r="CZ165" s="20">
        <f t="shared" ca="1" si="179"/>
        <v>-4.7812899106002532E-2</v>
      </c>
      <c r="DA165" s="20">
        <f t="shared" ca="1" si="180"/>
        <v>-2.5312711291413104E-2</v>
      </c>
      <c r="DB165" s="20">
        <f t="shared" ca="1" si="181"/>
        <v>-1.3039881574364327E-2</v>
      </c>
      <c r="DC165" s="20">
        <f t="shared" ca="1" si="182"/>
        <v>-6.6202475685234272E-3</v>
      </c>
      <c r="DD165" s="21">
        <f t="shared" ca="1" si="183"/>
        <v>6.6202475685234272E-3</v>
      </c>
      <c r="DE165" s="21">
        <f t="shared" ca="1" si="184"/>
        <v>1.3039881574364327E-2</v>
      </c>
      <c r="DF165" s="21">
        <f t="shared" ca="1" si="185"/>
        <v>2.5312711291413104E-2</v>
      </c>
      <c r="DG165" s="21">
        <f t="shared" ca="1" si="186"/>
        <v>4.7812899106002532E-2</v>
      </c>
      <c r="DH165" s="21">
        <f t="shared" ca="1" si="187"/>
        <v>8.6063218390804552E-2</v>
      </c>
      <c r="DI165" s="21">
        <f t="shared" ca="1" si="188"/>
        <v>0.1434386973180076</v>
      </c>
      <c r="DJ165" s="21">
        <f t="shared" ca="1" si="189"/>
        <v>0.21515804597701138</v>
      </c>
      <c r="DL165" s="16" cm="1">
        <f t="array" aca="1" ref="DL165" ca="1">MAX(_xlfn._xlws.FILTER(CW165:DJ165,CW165:DJ165&lt;BU165))</f>
        <v>-4.7812899106002532E-2</v>
      </c>
      <c r="DM165" s="16" cm="1">
        <f t="array" aca="1" ref="DM165" ca="1">MIN(_xlfn._xlws.FILTER(CW165:DJ165,CW165:DJ165&gt;BU165))</f>
        <v>-2.5312711291413104E-2</v>
      </c>
      <c r="DN165" s="2" cm="1">
        <f t="array" aca="1" ref="DN165" ca="1">_FV(EC165,"Fechamento anterior",TRUE)</f>
        <v>18.5</v>
      </c>
      <c r="DO165" s="28">
        <f t="shared" ca="1" si="162"/>
        <v>0.9238088255200092</v>
      </c>
      <c r="DP165" s="15">
        <f t="shared" ca="1" si="190"/>
        <v>17.615461366538952</v>
      </c>
      <c r="DQ165" s="15">
        <f t="shared" ca="1" si="191"/>
        <v>18.031714841108858</v>
      </c>
      <c r="DR165" s="9"/>
      <c r="DS165" s="9"/>
      <c r="DT165" s="9"/>
      <c r="DU165" s="89">
        <v>1.387640332461532E-2</v>
      </c>
      <c r="DV165" s="89">
        <f t="shared" ca="1" si="163"/>
        <v>2.2500187814589429E-2</v>
      </c>
      <c r="DW165" s="72">
        <f t="shared" ca="1" si="164"/>
        <v>-3.4337761094208809E-2</v>
      </c>
      <c r="DX165" s="37"/>
      <c r="DY165" s="35">
        <f t="shared" si="174"/>
        <v>0.5096430123135216</v>
      </c>
      <c r="DZ165" s="56"/>
      <c r="EA165" s="56"/>
      <c r="EC165" s="2" t="e" vm="167">
        <v>#VALUE!</v>
      </c>
      <c r="EE165" s="10" cm="1">
        <f t="array" aca="1" ref="EE165" ca="1">_FV(EC165,"Ações em circulação",TRUE)</f>
        <v>57737320</v>
      </c>
      <c r="EF165" s="18">
        <f>VLOOKUP(BP165,Fundamentus!A:U,5,FALSE)</f>
        <v>2.121</v>
      </c>
      <c r="EG165" s="2">
        <f t="shared" ca="1" si="165"/>
        <v>489991400.28288543</v>
      </c>
      <c r="EH165" s="17">
        <v>-30232469.397454031</v>
      </c>
      <c r="EI165" s="17">
        <f t="shared" ca="1" si="166"/>
        <v>-30232469.397454031</v>
      </c>
      <c r="EK165" s="16">
        <f t="shared" ca="1" si="153"/>
        <v>0</v>
      </c>
      <c r="EL165" s="32" t="str">
        <f>IF(VLOOKUP(BP165,Fundamentus!A:U,3,FALSE)&lt;15,"Bom",IF(VLOOKUP(BP165,Fundamentus!A:U,3,FALSE)&gt;15,"Ruim","n/a"))</f>
        <v>Bom</v>
      </c>
      <c r="EM165" s="28" t="str">
        <f>IF(VLOOKUP(BP165,Fundamentus!A:U,4,FALSE)&lt;1,"Baixo",IF(VLOOKUP(BP165,Fundamentus!A:U,4,FALSE)&lt;1.5,"Moderado",IF(VLOOKUP(BP165,Fundamentus!A:U,4,FALSE)&gt;1.5,"Alto","n/a")))</f>
        <v>Baixo</v>
      </c>
      <c r="EN165" s="17" t="str">
        <f>IF(VLOOKUP(BP165,Fundamentus!A:U,8,FALSE)&lt;0,"Risco elevado",IF(VLOOKUP(BP165,Fundamentus!A:U,8,FALSE)&lt;1,"Saudável",IF(VLOOKUP(BP165,Fundamentus!A:U,8,FALSE)&lt;3,"Estável",IF(VLOOKUP(BP165,Fundamentus!A:U,8,FALSE)&gt;3,"Alerta","n/a"))))</f>
        <v>Estável</v>
      </c>
      <c r="EO165" s="28" t="str">
        <f t="shared" si="167"/>
        <v>Bom</v>
      </c>
      <c r="EP165" s="17" t="str">
        <f>IF(VLOOKUP(BP165,Fundamentus!A:U,12,FALSE)&lt;2,"Subvalorizada",IF(VLOOKUP(BP165,Fundamentus!A:U,12,FALSE)&lt;6,"Muita barata",IF(VLOOKUP(BP165,Fundamentus!A:U,12,FALSE)&lt;6,"Barata",IF(VLOOKUP(BP165,Fundamentus!A:U,12,FALSE)&lt;8,"Atrativa",IF(VLOOKUP(BP165,Fundamentus!A:U,12,FALSE)&gt;8,"Supervalorizada","n/a")))))</f>
        <v>Supervalorizada</v>
      </c>
      <c r="ER165" s="17" t="str">
        <f>IF(VLOOKUP(BP165,Fundamentus!A:U,17,FALSE)&lt;0.1,"Fraco retorno",IF(VLOOKUP(BP165,Fundamentus!A:U,17,FALSE)&gt;0.1,"Bom retorno","n/a"))</f>
        <v>Fraco retorno</v>
      </c>
      <c r="ES165" s="17" t="str">
        <f>IF(VLOOKUP(BP165,Fundamentus!A:U,16,FALSE)&lt;0.1,"Ineficiente",IF(VLOOKUP(BP165,Fundamentus!A:U,16,FALSE)&gt;0.1,"Eficiente","n/a"))</f>
        <v>Ineficiente</v>
      </c>
      <c r="ET165" s="33" t="str">
        <f>IF(VLOOKUP(BP165,Fundamentus!A:U,16,FALSE)&lt;0.1,"Oper. Ineficiente",IF(VLOOKUP(BP165,Fundamentus!A:U,16,FALSE)&gt;0.1,"Oper.Eficiente","n/a"))</f>
        <v>Oper. Ineficiente</v>
      </c>
      <c r="EU165" s="34">
        <f>VLOOKUP(BP165,Fundamentus!A:U,14,FALSE)</f>
        <v>-6.1699999999999998E-2</v>
      </c>
      <c r="EV165" s="17" t="str">
        <f>IF(VLOOKUP(BP165,Fundamentus!A:U,21,FALSE)&lt;0,"Negativo",IF(VLOOKUP(BP165,Fundamentus!A:U,21,FALSE)&lt;0.05,"Fraco",IF(VLOOKUP(BP165,Fundamentus!A:U,21,FALSE)&lt;0.1,"Bom",IF(VLOOKUP(BP165,Fundamentus!A:U,21,FALSE)&gt;0.1,"Muito bom","n/a"))))</f>
        <v>Muito bom</v>
      </c>
      <c r="EX165" s="29" t="str">
        <f>IF(VLOOKUP(BP165,Fundamentus!A:U,15,FALSE)&gt;1,"Bom",IF(VLOOKUP(BP165,Fundamentus!A:U,15,FALSE)&lt;1,"Ruim","n/a"))</f>
        <v>Bom</v>
      </c>
      <c r="EY165" s="17" t="str">
        <f>IF(VLOOKUP(BP165,Fundamentus!A:U,20,FALSE)&lt;0.5,"Baixa",IF(VLOOKUP(BP165,Fundamentus!A:U,20,FALSE)&lt;1,"Moderada",IF(VLOOKUP(BP165,Fundamentus!A:U,20,FALSE)&lt;2,"Alerta",IF(VLOOKUP(BP165,Fundamentus!A:U,20,FALSE)&gt;2,"Alta","n/a"))))</f>
        <v>Moderada</v>
      </c>
      <c r="EZ165" s="10"/>
    </row>
    <row r="166" spans="1:156" s="2" customFormat="1" ht="11.25" x14ac:dyDescent="0.2">
      <c r="A166" s="4">
        <v>5</v>
      </c>
      <c r="B166" s="4">
        <v>5.13</v>
      </c>
      <c r="C166" s="4">
        <v>4.63</v>
      </c>
      <c r="D166" s="4">
        <v>4.13</v>
      </c>
      <c r="E166" s="4">
        <v>4.28</v>
      </c>
      <c r="F166" s="4">
        <v>4.22</v>
      </c>
      <c r="G166" s="4">
        <v>4.2</v>
      </c>
      <c r="H166" s="4">
        <v>3.99</v>
      </c>
      <c r="I166" s="4">
        <v>4.04</v>
      </c>
      <c r="J166" s="4">
        <v>4.47</v>
      </c>
      <c r="K166" s="4">
        <v>4.59</v>
      </c>
      <c r="L166" s="4">
        <v>4.33</v>
      </c>
      <c r="M166" s="4">
        <v>4.45</v>
      </c>
      <c r="N166" s="4">
        <v>4.38</v>
      </c>
      <c r="O166" s="4">
        <v>4.7</v>
      </c>
      <c r="P166" s="4">
        <v>4.63</v>
      </c>
      <c r="Q166" s="4">
        <v>4.8</v>
      </c>
      <c r="R166" s="4">
        <v>4.55</v>
      </c>
      <c r="S166" s="4">
        <v>4.45</v>
      </c>
      <c r="T166" s="4">
        <v>4.54</v>
      </c>
      <c r="U166" s="4">
        <v>4.1500000000000004</v>
      </c>
      <c r="V166" s="4">
        <v>4.3</v>
      </c>
      <c r="W166" s="4">
        <v>4.0999999999999996</v>
      </c>
      <c r="X166" s="4">
        <v>4.0599999999999996</v>
      </c>
      <c r="Y166" s="4">
        <v>4.46</v>
      </c>
      <c r="Z166" s="4">
        <v>4.33</v>
      </c>
      <c r="AA166" s="4">
        <v>4.09</v>
      </c>
      <c r="AB166" s="4">
        <v>4.28</v>
      </c>
      <c r="AC166" s="4">
        <v>4.2</v>
      </c>
      <c r="AD166" s="4">
        <v>4.17</v>
      </c>
      <c r="AE166" s="4">
        <v>3.76</v>
      </c>
      <c r="AF166" s="4">
        <v>3.59</v>
      </c>
      <c r="AG166" s="4">
        <v>3.53</v>
      </c>
      <c r="AH166" s="4">
        <v>3.41</v>
      </c>
      <c r="AI166" s="4">
        <v>3.22</v>
      </c>
      <c r="AJ166" s="4">
        <v>3.23</v>
      </c>
      <c r="AK166" s="4">
        <v>3.36</v>
      </c>
      <c r="AL166" s="4">
        <v>3.03</v>
      </c>
      <c r="AM166" s="4">
        <v>3.21</v>
      </c>
      <c r="AN166" s="4">
        <v>3.36</v>
      </c>
      <c r="AO166" s="4">
        <v>3.12</v>
      </c>
      <c r="AP166" s="4">
        <v>3.4</v>
      </c>
      <c r="AQ166" s="4">
        <v>2.94</v>
      </c>
      <c r="AR166" s="4">
        <v>2.74</v>
      </c>
      <c r="AS166" s="4">
        <v>2.69</v>
      </c>
      <c r="AT166" s="4">
        <v>2.65</v>
      </c>
      <c r="AU166" s="4">
        <v>2.6349999999999998</v>
      </c>
      <c r="AV166" s="4">
        <v>2.71</v>
      </c>
      <c r="AW166" s="4">
        <v>2.58</v>
      </c>
      <c r="AX166" s="4">
        <v>2.94</v>
      </c>
      <c r="AY166" s="12">
        <v>3.5</v>
      </c>
      <c r="AZ166" s="12">
        <v>3.89</v>
      </c>
      <c r="BA166" s="12">
        <v>3.61</v>
      </c>
      <c r="BB166" s="15">
        <v>3.57</v>
      </c>
      <c r="BC166" s="52">
        <v>3.66</v>
      </c>
      <c r="BD166" s="52">
        <v>3.82</v>
      </c>
      <c r="BE166" s="52">
        <v>3.76</v>
      </c>
      <c r="BF166" s="52">
        <v>3.93</v>
      </c>
      <c r="BG166" s="67">
        <v>4.08</v>
      </c>
      <c r="BH166" s="52">
        <v>4.13</v>
      </c>
      <c r="BI166" s="52">
        <v>4.0599999999999996</v>
      </c>
      <c r="BJ166" s="52">
        <v>3.67</v>
      </c>
      <c r="BK166" s="52">
        <v>3.75</v>
      </c>
      <c r="BL166" s="52">
        <v>3.9</v>
      </c>
      <c r="BM166" s="52">
        <v>3.77</v>
      </c>
      <c r="BN166" s="52">
        <v>3.95</v>
      </c>
      <c r="BO166" s="52" cm="1">
        <f t="array" aca="1" ref="BO166" ca="1">_FV(EC166,"Preço")</f>
        <v>3.95</v>
      </c>
      <c r="BP166" s="69" t="s">
        <v>162</v>
      </c>
      <c r="BQ166" s="36" cm="1">
        <f t="array" aca="1" ref="BQ166" ca="1">_FV(EC166,"Média de volume",TRUE)</f>
        <v>6580070</v>
      </c>
      <c r="BR166" s="36">
        <v>12202900</v>
      </c>
      <c r="BS166" s="36" cm="1">
        <f t="array" aca="1" ref="BS166" ca="1">_FV(EC166,"Volume")</f>
        <v>12202900</v>
      </c>
      <c r="BT166" s="24" cm="1">
        <f t="array" aca="1" ref="BT166" ca="1">_FV(EC166,"Beta")</f>
        <v>1.2337</v>
      </c>
      <c r="BU166" s="71" cm="1">
        <f t="array" aca="1" ref="BU166" ca="1">_FV(EC166,"Variação (%)",TRUE)</f>
        <v>4.4974E-2</v>
      </c>
      <c r="BW166" s="17" cm="1">
        <f t="array" aca="1" ref="BW166" ca="1">_FV(EC166,"Baixo")</f>
        <v>3.79</v>
      </c>
      <c r="BX166" s="17" cm="1">
        <f t="array" aca="1" ref="BX166" ca="1">_FV(EC166,"Alto")</f>
        <v>3.96</v>
      </c>
      <c r="BY166" s="24"/>
      <c r="BZ166" s="63">
        <f ca="1">SQRT(22.5*(BO166/VLOOKUP(BP166,Fundamentus!A:U,3,FALSE))*(BO166/VLOOKUP(BP166,Fundamentus!A:U,4,FALSE)))</f>
        <v>2.5273821811173112</v>
      </c>
      <c r="CB166" s="62">
        <f t="shared" ca="1" si="168"/>
        <v>0</v>
      </c>
      <c r="CC166" s="8"/>
      <c r="CD166" s="61">
        <f t="shared" si="169"/>
        <v>2.58</v>
      </c>
      <c r="CE166" s="61">
        <f t="shared" si="170"/>
        <v>5.13</v>
      </c>
      <c r="CF166" s="61">
        <f t="shared" si="171"/>
        <v>3.8606818181818183</v>
      </c>
      <c r="CG166" s="14"/>
      <c r="CH166" s="35">
        <f t="shared" si="154"/>
        <v>3.7551000244020716</v>
      </c>
      <c r="CI166" s="15">
        <f t="shared" si="172"/>
        <v>3.9599999999999227</v>
      </c>
      <c r="CJ166" s="35">
        <f t="shared" si="155"/>
        <v>4.1648999755977743</v>
      </c>
      <c r="CL166" s="14"/>
      <c r="CM166" s="17">
        <f t="shared" si="156"/>
        <v>9.3333333333333712E-2</v>
      </c>
      <c r="CN166" s="17">
        <f t="shared" si="157"/>
        <v>1.3366666666666669</v>
      </c>
      <c r="CO166" s="17">
        <f t="shared" si="158"/>
        <v>2.6433333333333335</v>
      </c>
      <c r="CP166" s="38">
        <f t="shared" si="173"/>
        <v>3.8866666666666667</v>
      </c>
      <c r="CQ166" s="17">
        <f t="shared" si="159"/>
        <v>5.1933333333333334</v>
      </c>
      <c r="CR166" s="17">
        <f t="shared" si="160"/>
        <v>6.4366666666666665</v>
      </c>
      <c r="CS166" s="17">
        <f t="shared" si="161"/>
        <v>7.7433333333333332</v>
      </c>
      <c r="CT166" s="2" cm="1">
        <f t="array" aca="1" ref="CT166" ca="1">MAX(_xlfn._xlws.FILTER(CM166:CS166,CM166:CS166&lt;BO166))</f>
        <v>3.8866666666666667</v>
      </c>
      <c r="CU166" s="2" cm="1">
        <f t="array" aca="1" ref="CU166" ca="1">MIN(_xlfn._xlws.FILTER($CM166:$CS166,$CM166:$CS166&gt;BO166))</f>
        <v>5.1933333333333334</v>
      </c>
      <c r="CV166" s="16">
        <f t="shared" ca="1" si="175"/>
        <v>0.33619210977701552</v>
      </c>
      <c r="CW166" s="20">
        <f t="shared" ca="1" si="176"/>
        <v>-0.16809605488850776</v>
      </c>
      <c r="CX166" s="20">
        <f t="shared" ca="1" si="177"/>
        <v>-0.1120640365923385</v>
      </c>
      <c r="CY166" s="20">
        <f t="shared" ca="1" si="178"/>
        <v>-6.723842195540311E-2</v>
      </c>
      <c r="CZ166" s="20">
        <f t="shared" ca="1" si="179"/>
        <v>-3.7354678864112839E-2</v>
      </c>
      <c r="DA166" s="20">
        <f t="shared" ca="1" si="180"/>
        <v>-1.97760064574715E-2</v>
      </c>
      <c r="DB166" s="20">
        <f t="shared" ca="1" si="181"/>
        <v>-1.0187639690212592E-2</v>
      </c>
      <c r="DC166" s="20">
        <f t="shared" ca="1" si="182"/>
        <v>-5.1721863042617777E-3</v>
      </c>
      <c r="DD166" s="21">
        <f t="shared" ca="1" si="183"/>
        <v>5.1721863042617777E-3</v>
      </c>
      <c r="DE166" s="21">
        <f t="shared" ca="1" si="184"/>
        <v>1.0187639690212592E-2</v>
      </c>
      <c r="DF166" s="21">
        <f t="shared" ca="1" si="185"/>
        <v>1.97760064574715E-2</v>
      </c>
      <c r="DG166" s="21">
        <f t="shared" ca="1" si="186"/>
        <v>3.7354678864112839E-2</v>
      </c>
      <c r="DH166" s="21">
        <f t="shared" ca="1" si="187"/>
        <v>6.723842195540311E-2</v>
      </c>
      <c r="DI166" s="21">
        <f t="shared" ca="1" si="188"/>
        <v>0.1120640365923385</v>
      </c>
      <c r="DJ166" s="21">
        <f t="shared" ca="1" si="189"/>
        <v>0.16809605488850776</v>
      </c>
      <c r="DL166" s="16" cm="1">
        <f t="array" aca="1" ref="DL166" ca="1">MAX(_xlfn._xlws.FILTER(CW166:DJ166,CW166:DJ166&lt;BU166))</f>
        <v>3.7354678864112839E-2</v>
      </c>
      <c r="DM166" s="16" cm="1">
        <f t="array" aca="1" ref="DM166" ca="1">MIN(_xlfn._xlws.FILTER(CW166:DJ166,CW166:DJ166&gt;BU166))</f>
        <v>6.723842195540311E-2</v>
      </c>
      <c r="DN166" s="2" cm="1">
        <f t="array" aca="1" ref="DN166" ca="1">_FV(EC166,"Fechamento anterior",TRUE)</f>
        <v>3.78</v>
      </c>
      <c r="DO166" s="28">
        <f t="shared" ca="1" si="162"/>
        <v>0.25495019436346289</v>
      </c>
      <c r="DP166" s="15">
        <f t="shared" ca="1" si="190"/>
        <v>3.9212006861063462</v>
      </c>
      <c r="DQ166" s="15">
        <f t="shared" ca="1" si="191"/>
        <v>4.0341612349914238</v>
      </c>
      <c r="DR166" s="9"/>
      <c r="DS166" s="9"/>
      <c r="DT166" s="9"/>
      <c r="DU166" s="89">
        <v>7.2019934088899656E-3</v>
      </c>
      <c r="DV166" s="89">
        <f t="shared" ca="1" si="163"/>
        <v>2.9883743091290271E-2</v>
      </c>
      <c r="DW166" s="72">
        <f t="shared" ca="1" si="164"/>
        <v>-4.880430058981125E-2</v>
      </c>
      <c r="DX166" s="37"/>
      <c r="DY166" s="35">
        <f t="shared" si="174"/>
        <v>0.10244998779892563</v>
      </c>
      <c r="DZ166" s="56"/>
      <c r="EA166" s="56"/>
      <c r="EC166" s="2" t="e" vm="168">
        <v>#VALUE!</v>
      </c>
      <c r="EE166" s="10" cm="1">
        <f t="array" aca="1" ref="EE166" ca="1">_FV(EC166,"Ações em circulação",TRUE)</f>
        <v>565999200</v>
      </c>
      <c r="EF166" s="18">
        <f>VLOOKUP(BP166,Fundamentus!A:U,5,FALSE)</f>
        <v>1.579</v>
      </c>
      <c r="EG166" s="2">
        <f t="shared" ca="1" si="165"/>
        <v>1415894135.5288157</v>
      </c>
      <c r="EH166" s="17">
        <v>32990333.357821409</v>
      </c>
      <c r="EI166" s="17">
        <f t="shared" ca="1" si="166"/>
        <v>32990333.357821409</v>
      </c>
      <c r="EK166" s="16">
        <f t="shared" ca="1" si="153"/>
        <v>0</v>
      </c>
      <c r="EL166" s="32" t="str">
        <f>IF(VLOOKUP(BP166,Fundamentus!A:U,3,FALSE)&lt;15,"Bom",IF(VLOOKUP(BP166,Fundamentus!A:U,3,FALSE)&gt;15,"Ruim","n/a"))</f>
        <v>Ruim</v>
      </c>
      <c r="EM166" s="28" t="str">
        <f>IF(VLOOKUP(BP166,Fundamentus!A:U,4,FALSE)&lt;1,"Baixo",IF(VLOOKUP(BP166,Fundamentus!A:U,4,FALSE)&lt;1.5,"Moderado",IF(VLOOKUP(BP166,Fundamentus!A:U,4,FALSE)&gt;1.5,"Alto","n/a")))</f>
        <v>Baixo</v>
      </c>
      <c r="EN166" s="17" t="str">
        <f>IF(VLOOKUP(BP166,Fundamentus!A:U,8,FALSE)&lt;0,"Risco elevado",IF(VLOOKUP(BP166,Fundamentus!A:U,8,FALSE)&lt;1,"Saudável",IF(VLOOKUP(BP166,Fundamentus!A:U,8,FALSE)&lt;3,"Estável",IF(VLOOKUP(BP166,Fundamentus!A:U,8,FALSE)&gt;3,"Alerta","n/a"))))</f>
        <v>Alerta</v>
      </c>
      <c r="EO166" s="28" t="str">
        <f t="shared" si="167"/>
        <v>Bom</v>
      </c>
      <c r="EP166" s="17" t="str">
        <f>IF(VLOOKUP(BP166,Fundamentus!A:U,12,FALSE)&lt;2,"Subvalorizada",IF(VLOOKUP(BP166,Fundamentus!A:U,12,FALSE)&lt;6,"Muita barata",IF(VLOOKUP(BP166,Fundamentus!A:U,12,FALSE)&lt;6,"Barata",IF(VLOOKUP(BP166,Fundamentus!A:U,12,FALSE)&lt;8,"Atrativa",IF(VLOOKUP(BP166,Fundamentus!A:U,12,FALSE)&gt;8,"Supervalorizada","n/a")))))</f>
        <v>Atrativa</v>
      </c>
      <c r="ER166" s="17" t="str">
        <f>IF(VLOOKUP(BP166,Fundamentus!A:U,17,FALSE)&lt;0.1,"Fraco retorno",IF(VLOOKUP(BP166,Fundamentus!A:U,17,FALSE)&gt;0.1,"Bom retorno","n/a"))</f>
        <v>Fraco retorno</v>
      </c>
      <c r="ES166" s="17" t="str">
        <f>IF(VLOOKUP(BP166,Fundamentus!A:U,16,FALSE)&lt;0.1,"Ineficiente",IF(VLOOKUP(BP166,Fundamentus!A:U,16,FALSE)&gt;0.1,"Eficiente","n/a"))</f>
        <v>Ineficiente</v>
      </c>
      <c r="ET166" s="33" t="str">
        <f>IF(VLOOKUP(BP166,Fundamentus!A:U,16,FALSE)&lt;0.1,"Oper. Ineficiente",IF(VLOOKUP(BP166,Fundamentus!A:U,16,FALSE)&gt;0.1,"Oper.Eficiente","n/a"))</f>
        <v>Oper. Ineficiente</v>
      </c>
      <c r="EU166" s="34">
        <f>VLOOKUP(BP166,Fundamentus!A:U,14,FALSE)</f>
        <v>2.3300000000000001E-2</v>
      </c>
      <c r="EV166" s="17" t="str">
        <f>IF(VLOOKUP(BP166,Fundamentus!A:U,21,FALSE)&lt;0,"Negativo",IF(VLOOKUP(BP166,Fundamentus!A:U,21,FALSE)&lt;0.05,"Fraco",IF(VLOOKUP(BP166,Fundamentus!A:U,21,FALSE)&lt;0.1,"Bom",IF(VLOOKUP(BP166,Fundamentus!A:U,21,FALSE)&gt;0.1,"Muito bom","n/a"))))</f>
        <v>Muito bom</v>
      </c>
      <c r="EX166" s="29" t="str">
        <f>IF(VLOOKUP(BP166,Fundamentus!A:U,15,FALSE)&gt;1,"Bom",IF(VLOOKUP(BP166,Fundamentus!A:U,15,FALSE)&lt;1,"Ruim","n/a"))</f>
        <v>Bom</v>
      </c>
      <c r="EY166" s="17" t="str">
        <f>IF(VLOOKUP(BP166,Fundamentus!A:U,20,FALSE)&lt;0.5,"Baixa",IF(VLOOKUP(BP166,Fundamentus!A:U,20,FALSE)&lt;1,"Moderada",IF(VLOOKUP(BP166,Fundamentus!A:U,20,FALSE)&lt;2,"Alerta",IF(VLOOKUP(BP166,Fundamentus!A:U,20,FALSE)&gt;2,"Alta","n/a"))))</f>
        <v>Baixa</v>
      </c>
      <c r="EZ166" s="10"/>
    </row>
    <row r="167" spans="1:156" s="2" customFormat="1" ht="11.25" x14ac:dyDescent="0.2">
      <c r="A167" s="4">
        <v>2.19</v>
      </c>
      <c r="B167" s="4">
        <v>2.2599999999999998</v>
      </c>
      <c r="C167" s="4">
        <v>2.2400000000000002</v>
      </c>
      <c r="D167" s="4">
        <v>2.31</v>
      </c>
      <c r="E167" s="4">
        <v>2.1</v>
      </c>
      <c r="F167" s="4">
        <v>1.94</v>
      </c>
      <c r="G167" s="4">
        <v>1.89</v>
      </c>
      <c r="H167" s="4">
        <v>1.79</v>
      </c>
      <c r="I167" s="4">
        <v>1.85</v>
      </c>
      <c r="J167" s="4">
        <v>1.92</v>
      </c>
      <c r="K167" s="4">
        <v>1.96</v>
      </c>
      <c r="L167" s="4">
        <v>1.86</v>
      </c>
      <c r="M167" s="4">
        <v>1.76</v>
      </c>
      <c r="N167" s="4">
        <v>1.81</v>
      </c>
      <c r="O167" s="4">
        <v>1.75</v>
      </c>
      <c r="P167" s="4">
        <v>1.75</v>
      </c>
      <c r="Q167" s="4">
        <v>1.78</v>
      </c>
      <c r="R167" s="4">
        <v>1.65</v>
      </c>
      <c r="S167" s="4">
        <v>1.75</v>
      </c>
      <c r="T167" s="4">
        <v>1.94</v>
      </c>
      <c r="U167" s="4">
        <v>1.7</v>
      </c>
      <c r="V167" s="4">
        <v>1.75</v>
      </c>
      <c r="W167" s="4">
        <v>1.76</v>
      </c>
      <c r="X167" s="4">
        <v>1.71</v>
      </c>
      <c r="Y167" s="4">
        <v>1.63</v>
      </c>
      <c r="Z167" s="4">
        <v>1.63</v>
      </c>
      <c r="AA167" s="4">
        <v>1.58</v>
      </c>
      <c r="AB167" s="4">
        <v>1.65</v>
      </c>
      <c r="AC167" s="4">
        <v>1.64</v>
      </c>
      <c r="AD167" s="4">
        <v>1.77</v>
      </c>
      <c r="AE167" s="4">
        <v>1.65</v>
      </c>
      <c r="AF167" s="4">
        <v>1.65</v>
      </c>
      <c r="AG167" s="4">
        <v>1.48</v>
      </c>
      <c r="AH167" s="4">
        <v>1.36</v>
      </c>
      <c r="AI167" s="4">
        <v>1.5</v>
      </c>
      <c r="AJ167" s="4">
        <v>1.47</v>
      </c>
      <c r="AK167" s="4">
        <v>1.41</v>
      </c>
      <c r="AL167" s="4">
        <v>1.31</v>
      </c>
      <c r="AM167" s="4">
        <v>1.29</v>
      </c>
      <c r="AN167" s="4">
        <v>1.3</v>
      </c>
      <c r="AO167" s="4">
        <v>1.27</v>
      </c>
      <c r="AP167" s="4">
        <v>1.34</v>
      </c>
      <c r="AQ167" s="4">
        <v>1.26</v>
      </c>
      <c r="AR167" s="4">
        <v>1.17</v>
      </c>
      <c r="AS167" s="4">
        <v>1.2</v>
      </c>
      <c r="AT167" s="4">
        <v>1.33</v>
      </c>
      <c r="AU167" s="4">
        <v>1.4</v>
      </c>
      <c r="AV167" s="4">
        <v>1.45</v>
      </c>
      <c r="AW167" s="4">
        <v>1.33</v>
      </c>
      <c r="AX167" s="4">
        <v>1.32</v>
      </c>
      <c r="AY167" s="12">
        <v>1.41</v>
      </c>
      <c r="AZ167" s="12">
        <v>1.4</v>
      </c>
      <c r="BA167" s="12">
        <v>1.38</v>
      </c>
      <c r="BB167" s="15">
        <v>1.39</v>
      </c>
      <c r="BC167" s="52">
        <v>1.5</v>
      </c>
      <c r="BD167" s="52">
        <v>1.6</v>
      </c>
      <c r="BE167" s="52">
        <v>1.75</v>
      </c>
      <c r="BF167" s="52">
        <v>1.66</v>
      </c>
      <c r="BG167" s="67">
        <v>1.65</v>
      </c>
      <c r="BH167" s="52">
        <v>1.64</v>
      </c>
      <c r="BI167" s="52">
        <v>1.67</v>
      </c>
      <c r="BJ167" s="52">
        <v>1.58</v>
      </c>
      <c r="BK167" s="52">
        <v>1.38</v>
      </c>
      <c r="BL167" s="52">
        <v>1.45</v>
      </c>
      <c r="BM167" s="52">
        <v>1.49</v>
      </c>
      <c r="BN167" s="52">
        <v>1.42</v>
      </c>
      <c r="BO167" s="52" cm="1">
        <f t="array" aca="1" ref="BO167" ca="1">_FV(EC167,"Preço")</f>
        <v>1.42</v>
      </c>
      <c r="BP167" s="69" t="s">
        <v>163</v>
      </c>
      <c r="BQ167" s="36" cm="1">
        <f t="array" aca="1" ref="BQ167" ca="1">_FV(EC167,"Média de volume",TRUE)</f>
        <v>90250</v>
      </c>
      <c r="BR167" s="36">
        <v>80600</v>
      </c>
      <c r="BS167" s="36" cm="1">
        <f t="array" aca="1" ref="BS167" ca="1">_FV(EC167,"Volume")</f>
        <v>80600</v>
      </c>
      <c r="BT167" s="24" cm="1">
        <f t="array" aca="1" ref="BT167" ca="1">_FV(EC167,"Beta")</f>
        <v>1.4052</v>
      </c>
      <c r="BU167" s="71" cm="1">
        <f t="array" aca="1" ref="BU167" ca="1">_FV(EC167,"Variação (%)",TRUE)</f>
        <v>-6.9930000000000001E-3</v>
      </c>
      <c r="BW167" s="17" cm="1">
        <f t="array" aca="1" ref="BW167" ca="1">_FV(EC167,"Baixo")</f>
        <v>1.35</v>
      </c>
      <c r="BX167" s="17" cm="1">
        <f t="array" aca="1" ref="BX167" ca="1">_FV(EC167,"Alto")</f>
        <v>1.44</v>
      </c>
      <c r="BY167" s="24"/>
      <c r="BZ167" s="63">
        <f ca="1">SQRT(22.5*(BO167/VLOOKUP(BP167,Fundamentus!A:U,3,FALSE))*(BO167/VLOOKUP(BP167,Fundamentus!A:U,4,FALSE)))</f>
        <v>2.1647750029561541</v>
      </c>
      <c r="CB167" s="62">
        <f t="shared" ca="1" si="168"/>
        <v>0</v>
      </c>
      <c r="CC167" s="8"/>
      <c r="CD167" s="61">
        <f t="shared" si="169"/>
        <v>1.17</v>
      </c>
      <c r="CE167" s="61">
        <f t="shared" si="170"/>
        <v>2.31</v>
      </c>
      <c r="CF167" s="61">
        <f t="shared" si="171"/>
        <v>1.623939393939394</v>
      </c>
      <c r="CG167" s="14"/>
      <c r="CH167" s="35">
        <f t="shared" si="154"/>
        <v>1.3384130313682832</v>
      </c>
      <c r="CI167" s="15">
        <f t="shared" si="172"/>
        <v>1.4749999999999943</v>
      </c>
      <c r="CJ167" s="35">
        <f t="shared" si="155"/>
        <v>1.6115869686317055</v>
      </c>
      <c r="CL167" s="14"/>
      <c r="CM167" s="17">
        <f t="shared" si="156"/>
        <v>-0.18333333333333313</v>
      </c>
      <c r="CN167" s="17">
        <f t="shared" si="157"/>
        <v>0.4933333333333334</v>
      </c>
      <c r="CO167" s="17">
        <f t="shared" si="158"/>
        <v>0.956666666666667</v>
      </c>
      <c r="CP167" s="38">
        <f t="shared" si="173"/>
        <v>1.6333333333333335</v>
      </c>
      <c r="CQ167" s="17">
        <f t="shared" si="159"/>
        <v>2.0966666666666671</v>
      </c>
      <c r="CR167" s="17">
        <f t="shared" si="160"/>
        <v>2.7733333333333334</v>
      </c>
      <c r="CS167" s="17">
        <f t="shared" si="161"/>
        <v>3.2366666666666672</v>
      </c>
      <c r="CT167" s="2" cm="1">
        <f t="array" aca="1" ref="CT167" ca="1">MAX(_xlfn._xlws.FILTER(CM167:CS167,CM167:CS167&lt;BO167))</f>
        <v>0.956666666666667</v>
      </c>
      <c r="CU167" s="2" cm="1">
        <f t="array" aca="1" ref="CU167" ca="1">MIN(_xlfn._xlws.FILTER($CM167:$CS167,$CM167:$CS167&gt;BO167))</f>
        <v>1.6333333333333335</v>
      </c>
      <c r="CV167" s="16">
        <f t="shared" ca="1" si="175"/>
        <v>0.70731707317073123</v>
      </c>
      <c r="CW167" s="20">
        <f t="shared" ca="1" si="176"/>
        <v>-0.35365853658536561</v>
      </c>
      <c r="CX167" s="20">
        <f t="shared" ca="1" si="177"/>
        <v>-0.23577235772357708</v>
      </c>
      <c r="CY167" s="20">
        <f t="shared" ca="1" si="178"/>
        <v>-0.14146341463414625</v>
      </c>
      <c r="CZ167" s="20">
        <f t="shared" ca="1" si="179"/>
        <v>-7.859078590785902E-2</v>
      </c>
      <c r="DA167" s="20">
        <f t="shared" ca="1" si="180"/>
        <v>-4.1606886657101834E-2</v>
      </c>
      <c r="DB167" s="20">
        <f t="shared" ca="1" si="181"/>
        <v>-2.1433850702143372E-2</v>
      </c>
      <c r="DC167" s="20">
        <f t="shared" ca="1" si="182"/>
        <v>-1.0881801125703557E-2</v>
      </c>
      <c r="DD167" s="21">
        <f t="shared" ca="1" si="183"/>
        <v>1.0881801125703557E-2</v>
      </c>
      <c r="DE167" s="21">
        <f t="shared" ca="1" si="184"/>
        <v>2.1433850702143372E-2</v>
      </c>
      <c r="DF167" s="21">
        <f t="shared" ca="1" si="185"/>
        <v>4.1606886657101834E-2</v>
      </c>
      <c r="DG167" s="21">
        <f t="shared" ca="1" si="186"/>
        <v>7.859078590785902E-2</v>
      </c>
      <c r="DH167" s="21">
        <f t="shared" ca="1" si="187"/>
        <v>0.14146341463414625</v>
      </c>
      <c r="DI167" s="21">
        <f t="shared" ca="1" si="188"/>
        <v>0.23577235772357708</v>
      </c>
      <c r="DJ167" s="21">
        <f t="shared" ca="1" si="189"/>
        <v>0.35365853658536561</v>
      </c>
      <c r="DL167" s="16" cm="1">
        <f t="array" aca="1" ref="DL167" ca="1">MAX(_xlfn._xlws.FILTER(CW167:DJ167,CW167:DJ167&lt;BU167))</f>
        <v>-1.0881801125703557E-2</v>
      </c>
      <c r="DM167" s="16" cm="1">
        <f t="array" aca="1" ref="DM167" ca="1">MIN(_xlfn._xlws.FILTER(CW167:DJ167,CW167:DJ167&gt;BU167))</f>
        <v>1.0881801125703557E-2</v>
      </c>
      <c r="DN167" s="2" cm="1">
        <f t="array" aca="1" ref="DN167" ca="1">_FV(EC167,"Fechamento anterior",TRUE)</f>
        <v>1.43</v>
      </c>
      <c r="DO167" s="28">
        <f t="shared" ca="1" si="162"/>
        <v>0.17868338557993729</v>
      </c>
      <c r="DP167" s="15">
        <f t="shared" ca="1" si="190"/>
        <v>1.4144390243902438</v>
      </c>
      <c r="DQ167" s="15">
        <f t="shared" ca="1" si="191"/>
        <v>1.445560975609756</v>
      </c>
      <c r="DR167" s="9"/>
      <c r="DS167" s="9"/>
      <c r="DT167" s="9"/>
      <c r="DU167" s="89">
        <v>1.0183218374344657E-2</v>
      </c>
      <c r="DV167" s="89">
        <f t="shared" ca="1" si="163"/>
        <v>2.1763602251407114E-2</v>
      </c>
      <c r="DW167" s="72">
        <f t="shared" ca="1" si="164"/>
        <v>-0.40267384620193653</v>
      </c>
      <c r="DX167" s="37"/>
      <c r="DY167" s="35">
        <f t="shared" si="174"/>
        <v>6.8293484315855565E-2</v>
      </c>
      <c r="DZ167" s="56"/>
      <c r="EA167" s="56"/>
      <c r="EC167" s="2" t="e" vm="169">
        <v>#VALUE!</v>
      </c>
      <c r="EE167" s="10" cm="1">
        <f t="array" aca="1" ref="EE167" ca="1">_FV(EC167,"Ações em circulação",TRUE)</f>
        <v>147554600</v>
      </c>
      <c r="EF167" s="18">
        <f>VLOOKUP(BP167,Fundamentus!A:U,5,FALSE)</f>
        <v>1.0629999999999999</v>
      </c>
      <c r="EG167" s="2">
        <f t="shared" ca="1" si="165"/>
        <v>197109625.5879586</v>
      </c>
      <c r="EH167" s="17">
        <v>32325978.596425213</v>
      </c>
      <c r="EI167" s="17">
        <f t="shared" ca="1" si="166"/>
        <v>32325978.596425213</v>
      </c>
      <c r="EK167" s="16">
        <f t="shared" ca="1" si="153"/>
        <v>0</v>
      </c>
      <c r="EL167" s="32" t="str">
        <f>IF(VLOOKUP(BP167,Fundamentus!A:U,3,FALSE)&lt;15,"Bom",IF(VLOOKUP(BP167,Fundamentus!A:U,3,FALSE)&gt;15,"Ruim","n/a"))</f>
        <v>Bom</v>
      </c>
      <c r="EM167" s="28" t="str">
        <f>IF(VLOOKUP(BP167,Fundamentus!A:U,4,FALSE)&lt;1,"Baixo",IF(VLOOKUP(BP167,Fundamentus!A:U,4,FALSE)&lt;1.5,"Moderado",IF(VLOOKUP(BP167,Fundamentus!A:U,4,FALSE)&gt;1.5,"Alto","n/a")))</f>
        <v>Baixo</v>
      </c>
      <c r="EN167" s="17" t="str">
        <f>IF(VLOOKUP(BP167,Fundamentus!A:U,8,FALSE)&lt;0,"Risco elevado",IF(VLOOKUP(BP167,Fundamentus!A:U,8,FALSE)&lt;1,"Saudável",IF(VLOOKUP(BP167,Fundamentus!A:U,8,FALSE)&lt;3,"Estável",IF(VLOOKUP(BP167,Fundamentus!A:U,8,FALSE)&gt;3,"Alerta","n/a"))))</f>
        <v>Alerta</v>
      </c>
      <c r="EO167" s="28" t="str">
        <f t="shared" si="167"/>
        <v>Bom</v>
      </c>
      <c r="EP167" s="17" t="str">
        <f>IF(VLOOKUP(BP167,Fundamentus!A:U,12,FALSE)&lt;2,"Subvalorizada",IF(VLOOKUP(BP167,Fundamentus!A:U,12,FALSE)&lt;6,"Muita barata",IF(VLOOKUP(BP167,Fundamentus!A:U,12,FALSE)&lt;6,"Barata",IF(VLOOKUP(BP167,Fundamentus!A:U,12,FALSE)&lt;8,"Atrativa",IF(VLOOKUP(BP167,Fundamentus!A:U,12,FALSE)&gt;8,"Supervalorizada","n/a")))))</f>
        <v>Muita barata</v>
      </c>
      <c r="ER167" s="17" t="str">
        <f>IF(VLOOKUP(BP167,Fundamentus!A:U,17,FALSE)&lt;0.1,"Fraco retorno",IF(VLOOKUP(BP167,Fundamentus!A:U,17,FALSE)&gt;0.1,"Bom retorno","n/a"))</f>
        <v>Fraco retorno</v>
      </c>
      <c r="ES167" s="17" t="str">
        <f>IF(VLOOKUP(BP167,Fundamentus!A:U,16,FALSE)&lt;0.1,"Ineficiente",IF(VLOOKUP(BP167,Fundamentus!A:U,16,FALSE)&gt;0.1,"Eficiente","n/a"))</f>
        <v>Eficiente</v>
      </c>
      <c r="ET167" s="33" t="str">
        <f>IF(VLOOKUP(BP167,Fundamentus!A:U,16,FALSE)&lt;0.1,"Oper. Ineficiente",IF(VLOOKUP(BP167,Fundamentus!A:U,16,FALSE)&gt;0.1,"Oper.Eficiente","n/a"))</f>
        <v>Oper.Eficiente</v>
      </c>
      <c r="EU167" s="34">
        <f>VLOOKUP(BP167,Fundamentus!A:U,14,FALSE)</f>
        <v>0.16400000000000001</v>
      </c>
      <c r="EV167" s="17" t="str">
        <f>IF(VLOOKUP(BP167,Fundamentus!A:U,21,FALSE)&lt;0,"Negativo",IF(VLOOKUP(BP167,Fundamentus!A:U,21,FALSE)&lt;0.05,"Fraco",IF(VLOOKUP(BP167,Fundamentus!A:U,21,FALSE)&lt;0.1,"Bom",IF(VLOOKUP(BP167,Fundamentus!A:U,21,FALSE)&gt;0.1,"Muito bom","n/a"))))</f>
        <v>Negativo</v>
      </c>
      <c r="EX167" s="29" t="str">
        <f>IF(VLOOKUP(BP167,Fundamentus!A:U,15,FALSE)&gt;1,"Bom",IF(VLOOKUP(BP167,Fundamentus!A:U,15,FALSE)&lt;1,"Ruim","n/a"))</f>
        <v>Bom</v>
      </c>
      <c r="EY167" s="17" t="str">
        <f>IF(VLOOKUP(BP167,Fundamentus!A:U,20,FALSE)&lt;0.5,"Baixa",IF(VLOOKUP(BP167,Fundamentus!A:U,20,FALSE)&lt;1,"Moderada",IF(VLOOKUP(BP167,Fundamentus!A:U,20,FALSE)&lt;2,"Alerta",IF(VLOOKUP(BP167,Fundamentus!A:U,20,FALSE)&gt;2,"Alta","n/a"))))</f>
        <v>Baixa</v>
      </c>
      <c r="EZ167" s="10"/>
    </row>
    <row r="168" spans="1:156" s="2" customFormat="1" ht="11.25" x14ac:dyDescent="0.2">
      <c r="A168" s="4">
        <v>4.2</v>
      </c>
      <c r="B168" s="4">
        <v>4.0999999999999996</v>
      </c>
      <c r="C168" s="4">
        <v>4.0599999999999996</v>
      </c>
      <c r="D168" s="4">
        <v>3.95</v>
      </c>
      <c r="E168" s="4">
        <v>3.69</v>
      </c>
      <c r="F168" s="4">
        <v>3.57</v>
      </c>
      <c r="G168" s="4">
        <v>3.46</v>
      </c>
      <c r="H168" s="4">
        <v>3.36</v>
      </c>
      <c r="I168" s="4">
        <v>3.5</v>
      </c>
      <c r="J168" s="4">
        <v>4.01</v>
      </c>
      <c r="K168" s="4">
        <v>4.38</v>
      </c>
      <c r="L168" s="4">
        <v>4.05</v>
      </c>
      <c r="M168" s="4">
        <v>3.96</v>
      </c>
      <c r="N168" s="4">
        <v>3.91</v>
      </c>
      <c r="O168" s="4">
        <v>4</v>
      </c>
      <c r="P168" s="4">
        <v>3.84</v>
      </c>
      <c r="Q168" s="4">
        <v>3.93</v>
      </c>
      <c r="R168" s="4">
        <v>3.72</v>
      </c>
      <c r="S168" s="4">
        <v>3.8</v>
      </c>
      <c r="T168" s="4">
        <v>3.84</v>
      </c>
      <c r="U168" s="4">
        <v>3.64</v>
      </c>
      <c r="V168" s="4">
        <v>3.6</v>
      </c>
      <c r="W168" s="4">
        <v>3.81</v>
      </c>
      <c r="X168" s="4">
        <v>3.62</v>
      </c>
      <c r="Y168" s="4">
        <v>3.61</v>
      </c>
      <c r="Z168" s="4">
        <v>3.61</v>
      </c>
      <c r="AA168" s="4">
        <v>3.64</v>
      </c>
      <c r="AB168" s="4">
        <v>3.67</v>
      </c>
      <c r="AC168" s="4">
        <v>3.88</v>
      </c>
      <c r="AD168" s="4">
        <v>3.84</v>
      </c>
      <c r="AE168" s="4">
        <v>3.52</v>
      </c>
      <c r="AF168" s="4">
        <v>3.25</v>
      </c>
      <c r="AG168" s="4">
        <v>3.1</v>
      </c>
      <c r="AH168" s="4">
        <v>2.9</v>
      </c>
      <c r="AI168" s="4">
        <v>2.86</v>
      </c>
      <c r="AJ168" s="4">
        <v>2.85</v>
      </c>
      <c r="AK168" s="4">
        <v>2.87</v>
      </c>
      <c r="AL168" s="4">
        <v>3.03</v>
      </c>
      <c r="AM168" s="4">
        <v>3.1</v>
      </c>
      <c r="AN168" s="4">
        <v>3.27</v>
      </c>
      <c r="AO168" s="4">
        <v>3.16</v>
      </c>
      <c r="AP168" s="4">
        <v>3.25</v>
      </c>
      <c r="AQ168" s="4">
        <v>3.15</v>
      </c>
      <c r="AR168" s="4">
        <v>3.04</v>
      </c>
      <c r="AS168" s="4">
        <v>3.11</v>
      </c>
      <c r="AT168" s="4">
        <v>3.33</v>
      </c>
      <c r="AU168" s="4">
        <v>3.39</v>
      </c>
      <c r="AV168" s="4">
        <v>3.45</v>
      </c>
      <c r="AW168" s="4">
        <v>3.5</v>
      </c>
      <c r="AX168" s="4">
        <v>3.61</v>
      </c>
      <c r="AY168" s="12">
        <v>3.63</v>
      </c>
      <c r="AZ168" s="12">
        <v>4</v>
      </c>
      <c r="BA168" s="12">
        <v>3.84</v>
      </c>
      <c r="BB168" s="15">
        <v>3.82</v>
      </c>
      <c r="BC168" s="52">
        <v>4.28</v>
      </c>
      <c r="BD168" s="52">
        <v>4.01</v>
      </c>
      <c r="BE168" s="52">
        <v>4.03</v>
      </c>
      <c r="BF168" s="52">
        <v>3.88</v>
      </c>
      <c r="BG168" s="67">
        <v>3.99</v>
      </c>
      <c r="BH168" s="52">
        <v>4</v>
      </c>
      <c r="BI168" s="52">
        <v>3.87</v>
      </c>
      <c r="BJ168" s="52">
        <v>4.12</v>
      </c>
      <c r="BK168" s="52">
        <v>4.01</v>
      </c>
      <c r="BL168" s="52">
        <v>3.75</v>
      </c>
      <c r="BM168" s="52">
        <v>3.76</v>
      </c>
      <c r="BN168" s="52">
        <v>3.66</v>
      </c>
      <c r="BO168" s="52" cm="1">
        <f t="array" aca="1" ref="BO168" ca="1">_FV(EC168,"Preço")</f>
        <v>3.66</v>
      </c>
      <c r="BP168" s="69" t="s">
        <v>164</v>
      </c>
      <c r="BQ168" s="36" cm="1">
        <f t="array" aca="1" ref="BQ168" ca="1">_FV(EC168,"Média de volume",TRUE)</f>
        <v>452030</v>
      </c>
      <c r="BR168" s="36">
        <v>507400</v>
      </c>
      <c r="BS168" s="36" cm="1">
        <f t="array" aca="1" ref="BS168" ca="1">_FV(EC168,"Volume")</f>
        <v>507400</v>
      </c>
      <c r="BT168" s="24" cm="1">
        <f t="array" aca="1" ref="BT168" ca="1">_FV(EC168,"Beta")</f>
        <v>2.0901999999999998</v>
      </c>
      <c r="BU168" s="71" cm="1">
        <f t="array" aca="1" ref="BU168" ca="1">_FV(EC168,"Variação (%)",TRUE)</f>
        <v>-1.0810999999999999E-2</v>
      </c>
      <c r="BW168" s="17" cm="1">
        <f t="array" aca="1" ref="BW168" ca="1">_FV(EC168,"Baixo")</f>
        <v>3.66</v>
      </c>
      <c r="BX168" s="17" cm="1">
        <f t="array" aca="1" ref="BX168" ca="1">_FV(EC168,"Alto")</f>
        <v>3.78</v>
      </c>
      <c r="BY168" s="24"/>
      <c r="BZ168" s="63">
        <f ca="1">SQRT(22.5*(BO168/VLOOKUP(BP168,Fundamentus!A:U,3,FALSE))*(BO168/VLOOKUP(BP168,Fundamentus!A:U,4,FALSE)))</f>
        <v>10.644653428672131</v>
      </c>
      <c r="CB168" s="62">
        <f t="shared" ca="1" si="168"/>
        <v>0</v>
      </c>
      <c r="CC168" s="8"/>
      <c r="CD168" s="61">
        <f t="shared" si="169"/>
        <v>2.85</v>
      </c>
      <c r="CE168" s="61">
        <f t="shared" si="170"/>
        <v>4.38</v>
      </c>
      <c r="CF168" s="61">
        <f t="shared" si="171"/>
        <v>3.6460606060606064</v>
      </c>
      <c r="CG168" s="14"/>
      <c r="CH168" s="35">
        <f t="shared" si="154"/>
        <v>3.1860587441989381</v>
      </c>
      <c r="CI168" s="15">
        <f t="shared" si="172"/>
        <v>3.5349999999999682</v>
      </c>
      <c r="CJ168" s="35">
        <f t="shared" si="155"/>
        <v>3.8839412558009982</v>
      </c>
      <c r="CL168" s="14"/>
      <c r="CM168" s="17">
        <f t="shared" si="156"/>
        <v>1.350000000000001</v>
      </c>
      <c r="CN168" s="17">
        <f t="shared" si="157"/>
        <v>2.1000000000000005</v>
      </c>
      <c r="CO168" s="17">
        <f t="shared" si="158"/>
        <v>2.8800000000000008</v>
      </c>
      <c r="CP168" s="38">
        <f t="shared" si="173"/>
        <v>3.6300000000000003</v>
      </c>
      <c r="CQ168" s="17">
        <f t="shared" si="159"/>
        <v>4.41</v>
      </c>
      <c r="CR168" s="17">
        <f t="shared" si="160"/>
        <v>5.16</v>
      </c>
      <c r="CS168" s="17">
        <f t="shared" si="161"/>
        <v>5.94</v>
      </c>
      <c r="CT168" s="2" cm="1">
        <f t="array" aca="1" ref="CT168" ca="1">MAX(_xlfn._xlws.FILTER(CM168:CS168,CM168:CS168&lt;BO168))</f>
        <v>3.6300000000000003</v>
      </c>
      <c r="CU168" s="2" cm="1">
        <f t="array" aca="1" ref="CU168" ca="1">MIN(_xlfn._xlws.FILTER($CM168:$CS168,$CM168:$CS168&gt;BO168))</f>
        <v>4.41</v>
      </c>
      <c r="CV168" s="16">
        <f t="shared" ca="1" si="175"/>
        <v>0.21487603305785119</v>
      </c>
      <c r="CW168" s="20">
        <f t="shared" ca="1" si="176"/>
        <v>-0.1074380165289256</v>
      </c>
      <c r="CX168" s="20">
        <f t="shared" ca="1" si="177"/>
        <v>-7.1625344352617068E-2</v>
      </c>
      <c r="CY168" s="20">
        <f t="shared" ca="1" si="178"/>
        <v>-4.2975206611570241E-2</v>
      </c>
      <c r="CZ168" s="20">
        <f t="shared" ca="1" si="179"/>
        <v>-2.3875114784205689E-2</v>
      </c>
      <c r="DA168" s="20">
        <f t="shared" ca="1" si="180"/>
        <v>-1.2639766650461834E-2</v>
      </c>
      <c r="DB168" s="20">
        <f t="shared" ca="1" si="181"/>
        <v>-6.511394941147006E-3</v>
      </c>
      <c r="DC168" s="20">
        <f t="shared" ca="1" si="182"/>
        <v>-3.3057851239669412E-3</v>
      </c>
      <c r="DD168" s="21">
        <f t="shared" ca="1" si="183"/>
        <v>3.3057851239669412E-3</v>
      </c>
      <c r="DE168" s="21">
        <f t="shared" ca="1" si="184"/>
        <v>6.511394941147006E-3</v>
      </c>
      <c r="DF168" s="21">
        <f t="shared" ca="1" si="185"/>
        <v>1.2639766650461834E-2</v>
      </c>
      <c r="DG168" s="21">
        <f t="shared" ca="1" si="186"/>
        <v>2.3875114784205689E-2</v>
      </c>
      <c r="DH168" s="21">
        <f t="shared" ca="1" si="187"/>
        <v>4.2975206611570241E-2</v>
      </c>
      <c r="DI168" s="21">
        <f t="shared" ca="1" si="188"/>
        <v>7.1625344352617068E-2</v>
      </c>
      <c r="DJ168" s="21">
        <f t="shared" ca="1" si="189"/>
        <v>0.1074380165289256</v>
      </c>
      <c r="DL168" s="16" cm="1">
        <f t="array" aca="1" ref="DL168" ca="1">MAX(_xlfn._xlws.FILTER(CW168:DJ168,CW168:DJ168&lt;BU168))</f>
        <v>-1.2639766650461834E-2</v>
      </c>
      <c r="DM168" s="16" cm="1">
        <f t="array" aca="1" ref="DM168" ca="1">MIN(_xlfn._xlws.FILTER(CW168:DJ168,CW168:DJ168&gt;BU168))</f>
        <v>-6.511394941147006E-3</v>
      </c>
      <c r="DN168" s="2" cm="1">
        <f t="array" aca="1" ref="DN168" ca="1">_FV(EC168,"Fechamento anterior",TRUE)</f>
        <v>3.7</v>
      </c>
      <c r="DO168" s="28">
        <f t="shared" ca="1" si="162"/>
        <v>0.2984407484407422</v>
      </c>
      <c r="DP168" s="15">
        <f t="shared" ca="1" si="190"/>
        <v>3.6532328633932916</v>
      </c>
      <c r="DQ168" s="15">
        <f t="shared" ca="1" si="191"/>
        <v>3.6759078387177562</v>
      </c>
      <c r="DR168" s="9"/>
      <c r="DS168" s="9"/>
      <c r="DT168" s="9"/>
      <c r="DU168" s="89">
        <v>6.3119137371789287E-3</v>
      </c>
      <c r="DV168" s="89">
        <f t="shared" ca="1" si="163"/>
        <v>6.1283717093148279E-3</v>
      </c>
      <c r="DW168" s="72">
        <f t="shared" ca="1" si="164"/>
        <v>0.35822648632670789</v>
      </c>
      <c r="DX168" s="37"/>
      <c r="DY168" s="35">
        <f t="shared" si="174"/>
        <v>0.1744706279005151</v>
      </c>
      <c r="DZ168" s="56"/>
      <c r="EA168" s="56"/>
      <c r="EC168" s="2" t="e" vm="170">
        <v>#VALUE!</v>
      </c>
      <c r="EE168" s="10" cm="1">
        <f t="array" aca="1" ref="EE168" ca="1">_FV(EC168,"Ações em circulação",TRUE)</f>
        <v>105774800</v>
      </c>
      <c r="EF168" s="18">
        <f>VLOOKUP(BP168,Fundamentus!A:U,5,FALSE)</f>
        <v>0.33600000000000002</v>
      </c>
      <c r="EG168" s="2">
        <f t="shared" ca="1" si="165"/>
        <v>1152189785.7142856</v>
      </c>
      <c r="EH168" s="17">
        <v>81805474.785714269</v>
      </c>
      <c r="EI168" s="17">
        <f t="shared" ca="1" si="166"/>
        <v>81805474.785714269</v>
      </c>
      <c r="EK168" s="16">
        <f t="shared" ca="1" si="153"/>
        <v>0</v>
      </c>
      <c r="EL168" s="32" t="str">
        <f>IF(VLOOKUP(BP168,Fundamentus!A:U,3,FALSE)&lt;15,"Bom",IF(VLOOKUP(BP168,Fundamentus!A:U,3,FALSE)&gt;15,"Ruim","n/a"))</f>
        <v>Bom</v>
      </c>
      <c r="EM168" s="28" t="str">
        <f>IF(VLOOKUP(BP168,Fundamentus!A:U,4,FALSE)&lt;1,"Baixo",IF(VLOOKUP(BP168,Fundamentus!A:U,4,FALSE)&lt;1.5,"Moderado",IF(VLOOKUP(BP168,Fundamentus!A:U,4,FALSE)&gt;1.5,"Alto","n/a")))</f>
        <v>Baixo</v>
      </c>
      <c r="EN168" s="17" t="str">
        <f>IF(VLOOKUP(BP168,Fundamentus!A:U,8,FALSE)&lt;0,"Risco elevado",IF(VLOOKUP(BP168,Fundamentus!A:U,8,FALSE)&lt;1,"Saudável",IF(VLOOKUP(BP168,Fundamentus!A:U,8,FALSE)&lt;3,"Estável",IF(VLOOKUP(BP168,Fundamentus!A:U,8,FALSE)&gt;3,"Alerta","n/a"))))</f>
        <v>Saudável</v>
      </c>
      <c r="EO168" s="28" t="str">
        <f t="shared" si="167"/>
        <v>Ruim</v>
      </c>
      <c r="EP168" s="17" t="str">
        <f>IF(VLOOKUP(BP168,Fundamentus!A:U,12,FALSE)&lt;2,"Subvalorizada",IF(VLOOKUP(BP168,Fundamentus!A:U,12,FALSE)&lt;6,"Muita barata",IF(VLOOKUP(BP168,Fundamentus!A:U,12,FALSE)&lt;6,"Barata",IF(VLOOKUP(BP168,Fundamentus!A:U,12,FALSE)&lt;8,"Atrativa",IF(VLOOKUP(BP168,Fundamentus!A:U,12,FALSE)&gt;8,"Supervalorizada","n/a")))))</f>
        <v>Atrativa</v>
      </c>
      <c r="ER168" s="17" t="str">
        <f>IF(VLOOKUP(BP168,Fundamentus!A:U,17,FALSE)&lt;0.1,"Fraco retorno",IF(VLOOKUP(BP168,Fundamentus!A:U,17,FALSE)&gt;0.1,"Bom retorno","n/a"))</f>
        <v>Fraco retorno</v>
      </c>
      <c r="ES168" s="17" t="str">
        <f>IF(VLOOKUP(BP168,Fundamentus!A:U,16,FALSE)&lt;0.1,"Ineficiente",IF(VLOOKUP(BP168,Fundamentus!A:U,16,FALSE)&gt;0.1,"Eficiente","n/a"))</f>
        <v>Ineficiente</v>
      </c>
      <c r="ET168" s="33" t="str">
        <f>IF(VLOOKUP(BP168,Fundamentus!A:U,16,FALSE)&lt;0.1,"Oper. Ineficiente",IF(VLOOKUP(BP168,Fundamentus!A:U,16,FALSE)&gt;0.1,"Oper.Eficiente","n/a"))</f>
        <v>Oper. Ineficiente</v>
      </c>
      <c r="EU168" s="34">
        <f>VLOOKUP(BP168,Fundamentus!A:U,14,FALSE)</f>
        <v>7.0999999999999994E-2</v>
      </c>
      <c r="EV168" s="17" t="str">
        <f>IF(VLOOKUP(BP168,Fundamentus!A:U,21,FALSE)&lt;0,"Negativo",IF(VLOOKUP(BP168,Fundamentus!A:U,21,FALSE)&lt;0.05,"Fraco",IF(VLOOKUP(BP168,Fundamentus!A:U,21,FALSE)&lt;0.1,"Bom",IF(VLOOKUP(BP168,Fundamentus!A:U,21,FALSE)&gt;0.1,"Muito bom","n/a"))))</f>
        <v>Muito bom</v>
      </c>
      <c r="EX168" s="29" t="str">
        <f>IF(VLOOKUP(BP168,Fundamentus!A:U,15,FALSE)&gt;1,"Bom",IF(VLOOKUP(BP168,Fundamentus!A:U,15,FALSE)&lt;1,"Ruim","n/a"))</f>
        <v>Bom</v>
      </c>
      <c r="EY168" s="17" t="str">
        <f>IF(VLOOKUP(BP168,Fundamentus!A:U,20,FALSE)&lt;0.5,"Baixa",IF(VLOOKUP(BP168,Fundamentus!A:U,20,FALSE)&lt;1,"Moderada",IF(VLOOKUP(BP168,Fundamentus!A:U,20,FALSE)&lt;2,"Alerta",IF(VLOOKUP(BP168,Fundamentus!A:U,20,FALSE)&gt;2,"Alta","n/a"))))</f>
        <v>Moderada</v>
      </c>
      <c r="EZ168" s="10"/>
    </row>
    <row r="169" spans="1:156" s="2" customFormat="1" ht="11.25" x14ac:dyDescent="0.2">
      <c r="A169" s="4">
        <v>34.25</v>
      </c>
      <c r="B169" s="4">
        <v>33.99</v>
      </c>
      <c r="C169" s="4">
        <v>39.56</v>
      </c>
      <c r="D169" s="4">
        <v>37.68</v>
      </c>
      <c r="E169" s="4">
        <v>36.229999999999997</v>
      </c>
      <c r="F169" s="4">
        <v>38.4</v>
      </c>
      <c r="G169" s="4">
        <v>37.33</v>
      </c>
      <c r="H169" s="4">
        <v>37.869999999999997</v>
      </c>
      <c r="I169" s="4">
        <v>36.159999999999997</v>
      </c>
      <c r="J169" s="4">
        <v>35.82</v>
      </c>
      <c r="K169" s="4">
        <v>40.25</v>
      </c>
      <c r="L169" s="4">
        <v>41.52</v>
      </c>
      <c r="M169" s="4">
        <v>41.52</v>
      </c>
      <c r="N169" s="4">
        <v>39.25</v>
      </c>
      <c r="O169" s="4">
        <v>43.25</v>
      </c>
      <c r="P169" s="4">
        <v>44.58</v>
      </c>
      <c r="Q169" s="4">
        <v>46.03</v>
      </c>
      <c r="R169" s="4">
        <v>46.83</v>
      </c>
      <c r="S169" s="4">
        <v>47.83</v>
      </c>
      <c r="T169" s="4">
        <v>51.93</v>
      </c>
      <c r="U169" s="4">
        <v>48.25</v>
      </c>
      <c r="V169" s="4">
        <v>48.27</v>
      </c>
      <c r="W169" s="4">
        <v>45.94</v>
      </c>
      <c r="X169" s="4">
        <v>45.37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69" s="4">
        <v>59.88</v>
      </c>
      <c r="AM169" s="4">
        <v>60.97</v>
      </c>
      <c r="AN169" s="4">
        <v>59.7</v>
      </c>
      <c r="AO169" s="4">
        <v>62.3</v>
      </c>
      <c r="AP169" s="4">
        <v>60.35</v>
      </c>
      <c r="AQ169" s="4">
        <v>58.98</v>
      </c>
      <c r="AR169" s="4">
        <v>69.72</v>
      </c>
      <c r="AS169" s="4">
        <v>73.680000000000007</v>
      </c>
      <c r="AT169" s="4">
        <v>74.88</v>
      </c>
      <c r="AU169" s="4">
        <v>74.61</v>
      </c>
      <c r="AV169" s="4">
        <v>66.36</v>
      </c>
      <c r="AW169" s="4">
        <v>60.01</v>
      </c>
      <c r="AX169" s="4">
        <v>60.71</v>
      </c>
      <c r="AY169" s="12">
        <v>63.15</v>
      </c>
      <c r="AZ169" s="12">
        <v>63.52</v>
      </c>
      <c r="BA169" s="12">
        <v>64.92</v>
      </c>
      <c r="BB169" s="15">
        <v>69.459999999999994</v>
      </c>
      <c r="BC169" s="52">
        <v>69.849999999999994</v>
      </c>
      <c r="BD169" s="52">
        <v>67.13</v>
      </c>
      <c r="BE169" s="52">
        <v>65.489999999999995</v>
      </c>
      <c r="BF169" s="52">
        <v>64.510000000000005</v>
      </c>
      <c r="BG169" s="67">
        <v>66.44</v>
      </c>
      <c r="BH169" s="52">
        <v>72.53</v>
      </c>
      <c r="BI169" s="52">
        <v>74.64</v>
      </c>
      <c r="BJ169" s="52">
        <v>83.49</v>
      </c>
      <c r="BK169" s="52">
        <v>74.319999999999993</v>
      </c>
      <c r="BL169" s="52">
        <v>68.3</v>
      </c>
      <c r="BM169" s="52">
        <v>66.209999999999994</v>
      </c>
      <c r="BN169" s="52">
        <v>79.05</v>
      </c>
      <c r="BO169" s="52" cm="1">
        <f t="array" aca="1" ref="BO169" ca="1">_FV(EC169,"Preço")</f>
        <v>79.05</v>
      </c>
      <c r="BP169" s="69" t="s">
        <v>165</v>
      </c>
      <c r="BQ169" s="36" cm="1">
        <f t="array" aca="1" ref="BQ169" ca="1">_FV(EC169,"Média de volume",TRUE)</f>
        <v>9161280</v>
      </c>
      <c r="BR169" s="36">
        <v>10064900</v>
      </c>
      <c r="BS169" s="36" cm="1">
        <f t="array" aca="1" ref="BS169" ca="1">_FV(EC169,"Volume")</f>
        <v>10064900</v>
      </c>
      <c r="BT169" s="24" cm="1">
        <f t="array" aca="1" ref="BT169" ca="1">_FV(EC169,"Beta")</f>
        <v>0.52669999999999995</v>
      </c>
      <c r="BU169" s="71" cm="1">
        <f t="array" aca="1" ref="BU169" ca="1">_FV(EC169,"Variação (%)",TRUE)</f>
        <v>-1.9959999999999999E-2</v>
      </c>
      <c r="BW169" s="17" cm="1">
        <f t="array" aca="1" ref="BW169" ca="1">_FV(EC169,"Baixo")</f>
        <v>78.010000000000005</v>
      </c>
      <c r="BX169" s="17" cm="1">
        <f t="array" aca="1" ref="BX169" ca="1">_FV(EC169,"Alto")</f>
        <v>81.69</v>
      </c>
      <c r="BY169" s="24"/>
      <c r="BZ169" s="63">
        <f ca="1">SQRT(22.5*(BO169/VLOOKUP(BP169,Fundamentus!A:U,3,FALSE))*(BO169/VLOOKUP(BP169,Fundamentus!A:U,4,FALSE)))</f>
        <v>47.038833362258778</v>
      </c>
      <c r="CB169" s="62">
        <f t="shared" ca="1" si="168"/>
        <v>0</v>
      </c>
      <c r="CC169" s="8"/>
      <c r="CD169" s="61">
        <f t="shared" si="169"/>
        <v>33.99</v>
      </c>
      <c r="CE169" s="61">
        <f t="shared" si="170"/>
        <v>83.49</v>
      </c>
      <c r="CF169" s="61">
        <f t="shared" si="171"/>
        <v>55.510000000000012</v>
      </c>
      <c r="CG169" s="14"/>
      <c r="CH169" s="35">
        <f t="shared" si="154"/>
        <v>62.081016261431841</v>
      </c>
      <c r="CI169" s="15">
        <f t="shared" si="172"/>
        <v>74.994999999999891</v>
      </c>
      <c r="CJ169" s="35">
        <f t="shared" si="155"/>
        <v>87.90898373856794</v>
      </c>
      <c r="CL169" s="14"/>
      <c r="CM169" s="17">
        <f t="shared" si="156"/>
        <v>-1.970000000000006</v>
      </c>
      <c r="CN169" s="17">
        <f t="shared" si="157"/>
        <v>16.009999999999998</v>
      </c>
      <c r="CO169" s="17">
        <f t="shared" si="158"/>
        <v>47.529999999999987</v>
      </c>
      <c r="CP169" s="38">
        <f t="shared" si="173"/>
        <v>65.509999999999991</v>
      </c>
      <c r="CQ169" s="17">
        <f t="shared" si="159"/>
        <v>97.029999999999973</v>
      </c>
      <c r="CR169" s="17">
        <f t="shared" si="160"/>
        <v>115.00999999999999</v>
      </c>
      <c r="CS169" s="17">
        <f t="shared" si="161"/>
        <v>146.52999999999997</v>
      </c>
      <c r="CT169" s="2" cm="1">
        <f t="array" aca="1" ref="CT169" ca="1">MAX(_xlfn._xlws.FILTER(CM169:CS169,CM169:CS169&lt;BO169))</f>
        <v>65.509999999999991</v>
      </c>
      <c r="CU169" s="2" cm="1">
        <f t="array" aca="1" ref="CU169" ca="1">MIN(_xlfn._xlws.FILTER($CM169:$CS169,$CM169:$CS169&gt;BO169))</f>
        <v>97.029999999999973</v>
      </c>
      <c r="CV169" s="16">
        <f t="shared" ca="1" si="175"/>
        <v>0.48114791634864895</v>
      </c>
      <c r="CW169" s="20">
        <f t="shared" ca="1" si="176"/>
        <v>-0.24057395817432448</v>
      </c>
      <c r="CX169" s="20">
        <f t="shared" ca="1" si="177"/>
        <v>-0.16038263878288297</v>
      </c>
      <c r="CY169" s="20">
        <f t="shared" ca="1" si="178"/>
        <v>-9.6229583269729788E-2</v>
      </c>
      <c r="CZ169" s="20">
        <f t="shared" ca="1" si="179"/>
        <v>-5.3460879594294325E-2</v>
      </c>
      <c r="DA169" s="20">
        <f t="shared" ca="1" si="180"/>
        <v>-2.8302818608744056E-2</v>
      </c>
      <c r="DB169" s="20">
        <f t="shared" ca="1" si="181"/>
        <v>-1.4580239889352999E-2</v>
      </c>
      <c r="DC169" s="20">
        <f t="shared" ca="1" si="182"/>
        <v>-7.402275636133061E-3</v>
      </c>
      <c r="DD169" s="21">
        <f t="shared" ca="1" si="183"/>
        <v>7.402275636133061E-3</v>
      </c>
      <c r="DE169" s="21">
        <f t="shared" ca="1" si="184"/>
        <v>1.4580239889352999E-2</v>
      </c>
      <c r="DF169" s="21">
        <f t="shared" ca="1" si="185"/>
        <v>2.8302818608744056E-2</v>
      </c>
      <c r="DG169" s="21">
        <f t="shared" ca="1" si="186"/>
        <v>5.3460879594294325E-2</v>
      </c>
      <c r="DH169" s="21">
        <f t="shared" ca="1" si="187"/>
        <v>9.6229583269729788E-2</v>
      </c>
      <c r="DI169" s="21">
        <f t="shared" ca="1" si="188"/>
        <v>0.16038263878288297</v>
      </c>
      <c r="DJ169" s="21">
        <f t="shared" ca="1" si="189"/>
        <v>0.24057395817432448</v>
      </c>
      <c r="DL169" s="16" cm="1">
        <f t="array" aca="1" ref="DL169" ca="1">MAX(_xlfn._xlws.FILTER(CW169:DJ169,CW169:DJ169&lt;BU169))</f>
        <v>-2.8302818608744056E-2</v>
      </c>
      <c r="DM169" s="16" cm="1">
        <f t="array" aca="1" ref="DM169" ca="1">MIN(_xlfn._xlws.FILTER(CW169:DJ169,CW169:DJ169&gt;BU169))</f>
        <v>-1.4580239889352999E-2</v>
      </c>
      <c r="DN169" s="2" cm="1">
        <f t="array" aca="1" ref="DN169" ca="1">_FV(EC169,"Fechamento anterior",TRUE)</f>
        <v>80.66</v>
      </c>
      <c r="DO169" s="28">
        <f t="shared" ca="1" si="162"/>
        <v>0.60793903824932238</v>
      </c>
      <c r="DP169" s="15">
        <f t="shared" ca="1" si="190"/>
        <v>78.377094651018695</v>
      </c>
      <c r="DQ169" s="15">
        <f t="shared" ca="1" si="191"/>
        <v>79.483957850524789</v>
      </c>
      <c r="DR169" s="9"/>
      <c r="DS169" s="9"/>
      <c r="DT169" s="9"/>
      <c r="DU169" s="89">
        <v>1.388076881671456E-2</v>
      </c>
      <c r="DV169" s="89">
        <f t="shared" ca="1" si="163"/>
        <v>1.3722578719391056E-2</v>
      </c>
      <c r="DW169" s="72">
        <f t="shared" ca="1" si="164"/>
        <v>0.31400070513405648</v>
      </c>
      <c r="DX169" s="37"/>
      <c r="DY169" s="35">
        <f t="shared" si="174"/>
        <v>6.4569918692840247</v>
      </c>
      <c r="DZ169" s="56"/>
      <c r="EA169" s="56"/>
      <c r="EC169" s="2" t="e" vm="171">
        <v>#VALUE!</v>
      </c>
      <c r="EE169" s="10" cm="1">
        <f t="array" aca="1" ref="EE169" ca="1">_FV(EC169,"Ações em circulação",TRUE)</f>
        <v>740465000</v>
      </c>
      <c r="EF169" s="18">
        <f>VLOOKUP(BP169,Fundamentus!A:U,5,FALSE)</f>
        <v>1.3560000000000001</v>
      </c>
      <c r="EG169" s="2">
        <f t="shared" ca="1" si="165"/>
        <v>43166488384.95575</v>
      </c>
      <c r="EH169" s="17">
        <v>2577039356.5818582</v>
      </c>
      <c r="EI169" s="17">
        <f t="shared" ca="1" si="166"/>
        <v>2577039356.5818582</v>
      </c>
      <c r="EK169" s="16">
        <f t="shared" ca="1" si="153"/>
        <v>0</v>
      </c>
      <c r="EL169" s="32" t="str">
        <f>IF(VLOOKUP(BP169,Fundamentus!A:U,3,FALSE)&lt;15,"Bom",IF(VLOOKUP(BP169,Fundamentus!A:U,3,FALSE)&gt;15,"Ruim","n/a"))</f>
        <v>Ruim</v>
      </c>
      <c r="EM169" s="28" t="str">
        <f>IF(VLOOKUP(BP169,Fundamentus!A:U,4,FALSE)&lt;1,"Baixo",IF(VLOOKUP(BP169,Fundamentus!A:U,4,FALSE)&lt;1.5,"Moderado",IF(VLOOKUP(BP169,Fundamentus!A:U,4,FALSE)&gt;1.5,"Alto","n/a")))</f>
        <v>Alto</v>
      </c>
      <c r="EN169" s="17" t="str">
        <f>IF(VLOOKUP(BP169,Fundamentus!A:U,8,FALSE)&lt;0,"Risco elevado",IF(VLOOKUP(BP169,Fundamentus!A:U,8,FALSE)&lt;1,"Saudável",IF(VLOOKUP(BP169,Fundamentus!A:U,8,FALSE)&lt;3,"Estável",IF(VLOOKUP(BP169,Fundamentus!A:U,8,FALSE)&gt;3,"Alerta","n/a"))))</f>
        <v>Alerta</v>
      </c>
      <c r="EO169" s="28" t="str">
        <f t="shared" si="167"/>
        <v>Bom</v>
      </c>
      <c r="EP169" s="17" t="str">
        <f>IF(VLOOKUP(BP169,Fundamentus!A:U,12,FALSE)&lt;2,"Subvalorizada",IF(VLOOKUP(BP169,Fundamentus!A:U,12,FALSE)&lt;6,"Muita barata",IF(VLOOKUP(BP169,Fundamentus!A:U,12,FALSE)&lt;6,"Barata",IF(VLOOKUP(BP169,Fundamentus!A:U,12,FALSE)&lt;8,"Atrativa",IF(VLOOKUP(BP169,Fundamentus!A:U,12,FALSE)&gt;8,"Supervalorizada","n/a")))))</f>
        <v>Supervalorizada</v>
      </c>
      <c r="ER169" s="17" t="str">
        <f>IF(VLOOKUP(BP169,Fundamentus!A:U,17,FALSE)&lt;0.1,"Fraco retorno",IF(VLOOKUP(BP169,Fundamentus!A:U,17,FALSE)&gt;0.1,"Bom retorno","n/a"))</f>
        <v>Bom retorno</v>
      </c>
      <c r="ES169" s="17" t="str">
        <f>IF(VLOOKUP(BP169,Fundamentus!A:U,16,FALSE)&lt;0.1,"Ineficiente",IF(VLOOKUP(BP169,Fundamentus!A:U,16,FALSE)&gt;0.1,"Eficiente","n/a"))</f>
        <v>Ineficiente</v>
      </c>
      <c r="ET169" s="33" t="str">
        <f>IF(VLOOKUP(BP169,Fundamentus!A:U,16,FALSE)&lt;0.1,"Oper. Ineficiente",IF(VLOOKUP(BP169,Fundamentus!A:U,16,FALSE)&gt;0.1,"Oper.Eficiente","n/a"))</f>
        <v>Oper. Ineficiente</v>
      </c>
      <c r="EU169" s="34">
        <f>VLOOKUP(BP169,Fundamentus!A:U,14,FALSE)</f>
        <v>5.9700000000000003E-2</v>
      </c>
      <c r="EV169" s="17" t="str">
        <f>IF(VLOOKUP(BP169,Fundamentus!A:U,21,FALSE)&lt;0,"Negativo",IF(VLOOKUP(BP169,Fundamentus!A:U,21,FALSE)&lt;0.05,"Fraco",IF(VLOOKUP(BP169,Fundamentus!A:U,21,FALSE)&lt;0.1,"Bom",IF(VLOOKUP(BP169,Fundamentus!A:U,21,FALSE)&gt;0.1,"Muito bom","n/a"))))</f>
        <v>Muito bom</v>
      </c>
      <c r="EX169" s="29" t="str">
        <f>IF(VLOOKUP(BP169,Fundamentus!A:U,15,FALSE)&gt;1,"Bom",IF(VLOOKUP(BP169,Fundamentus!A:U,15,FALSE)&lt;1,"Ruim","n/a"))</f>
        <v>Bom</v>
      </c>
      <c r="EY169" s="17" t="str">
        <f>IF(VLOOKUP(BP169,Fundamentus!A:U,20,FALSE)&lt;0.5,"Baixa",IF(VLOOKUP(BP169,Fundamentus!A:U,20,FALSE)&lt;1,"Moderada",IF(VLOOKUP(BP169,Fundamentus!A:U,20,FALSE)&lt;2,"Alerta",IF(VLOOKUP(BP169,Fundamentus!A:U,20,FALSE)&gt;2,"Alta","n/a"))))</f>
        <v>Moderada</v>
      </c>
      <c r="EZ169" s="10"/>
    </row>
    <row r="170" spans="1:156" s="2" customFormat="1" ht="11.25" x14ac:dyDescent="0.2">
      <c r="A170" s="4">
        <v>8.0500000000000007</v>
      </c>
      <c r="B170" s="4">
        <v>8.02</v>
      </c>
      <c r="C170" s="4">
        <v>8.0299999999999994</v>
      </c>
      <c r="D170" s="4">
        <v>7.91</v>
      </c>
      <c r="E170" s="4">
        <v>7.79</v>
      </c>
      <c r="F170" s="4">
        <v>7.93</v>
      </c>
      <c r="G170" s="4">
        <v>7.86</v>
      </c>
      <c r="H170" s="4">
        <v>7.82</v>
      </c>
      <c r="I170" s="4">
        <v>7.82</v>
      </c>
      <c r="J170" s="4">
        <v>7.86</v>
      </c>
      <c r="K170" s="4">
        <v>8.3699999999999992</v>
      </c>
      <c r="L170" s="4">
        <v>7.95</v>
      </c>
      <c r="M170" s="4">
        <v>7.68</v>
      </c>
      <c r="N170" s="4">
        <v>8.0299999999999994</v>
      </c>
      <c r="O170" s="4">
        <v>8.25</v>
      </c>
      <c r="P170" s="4">
        <v>8.4499999999999993</v>
      </c>
      <c r="Q170" s="4">
        <v>8.5500000000000007</v>
      </c>
      <c r="R170" s="4">
        <v>8.14</v>
      </c>
      <c r="S170" s="4">
        <v>8.36</v>
      </c>
      <c r="T170" s="4">
        <v>8.49</v>
      </c>
      <c r="U170" s="4">
        <v>8.06</v>
      </c>
      <c r="V170" s="4">
        <v>7.94</v>
      </c>
      <c r="W170" s="4">
        <v>7.68</v>
      </c>
      <c r="X170" s="4">
        <v>7.58</v>
      </c>
      <c r="Y170" s="4">
        <v>7.53</v>
      </c>
      <c r="Z170" s="4">
        <v>7.58</v>
      </c>
      <c r="AA170" s="4">
        <v>7.31</v>
      </c>
      <c r="AB170" s="4">
        <v>7.39</v>
      </c>
      <c r="AC170" s="4">
        <v>7.21</v>
      </c>
      <c r="AD170" s="4">
        <v>7.33</v>
      </c>
      <c r="AE170" s="4">
        <v>7.16</v>
      </c>
      <c r="AF170" s="4">
        <v>7.05</v>
      </c>
      <c r="AG170" s="4">
        <v>6.86</v>
      </c>
      <c r="AH170" s="4">
        <v>6.98</v>
      </c>
      <c r="AI170" s="4">
        <v>6.57</v>
      </c>
      <c r="AJ170" s="4">
        <v>6.34</v>
      </c>
      <c r="AK170" s="4">
        <v>6.62</v>
      </c>
      <c r="AL170" s="4">
        <v>6.52</v>
      </c>
      <c r="AM170" s="4">
        <v>6.62</v>
      </c>
      <c r="AN170" s="4">
        <v>6.97</v>
      </c>
      <c r="AO170" s="4">
        <v>7.15</v>
      </c>
      <c r="AP170" s="4">
        <v>7.3</v>
      </c>
      <c r="AQ170" s="4">
        <v>7.26</v>
      </c>
      <c r="AR170" s="4">
        <v>6.79</v>
      </c>
      <c r="AS170" s="4">
        <v>6.87</v>
      </c>
      <c r="AT170" s="4">
        <v>7.18</v>
      </c>
      <c r="AU170" s="4">
        <v>7.5299999999999994</v>
      </c>
      <c r="AV170" s="4">
        <v>7.24</v>
      </c>
      <c r="AW170" s="4">
        <v>7.44</v>
      </c>
      <c r="AX170" s="4">
        <v>7.47</v>
      </c>
      <c r="AY170" s="12">
        <v>7.69</v>
      </c>
      <c r="AZ170" s="12">
        <v>8.1300000000000008</v>
      </c>
      <c r="BA170" s="12">
        <v>8.43</v>
      </c>
      <c r="BB170" s="15">
        <v>8.5399999999999991</v>
      </c>
      <c r="BC170" s="52">
        <v>8.41</v>
      </c>
      <c r="BD170" s="52">
        <v>8.69</v>
      </c>
      <c r="BE170" s="52">
        <v>8.89</v>
      </c>
      <c r="BF170" s="52">
        <v>8.64</v>
      </c>
      <c r="BG170" s="67">
        <v>8.52</v>
      </c>
      <c r="BH170" s="52">
        <v>8.69</v>
      </c>
      <c r="BI170" s="52">
        <v>8.86</v>
      </c>
      <c r="BJ170" s="52">
        <v>9.19</v>
      </c>
      <c r="BK170" s="52">
        <v>8.7200000000000006</v>
      </c>
      <c r="BL170" s="52">
        <v>8.6</v>
      </c>
      <c r="BM170" s="52">
        <v>8.58</v>
      </c>
      <c r="BN170" s="52">
        <v>8.6</v>
      </c>
      <c r="BO170" s="52" cm="1">
        <f t="array" aca="1" ref="BO170" ca="1">_FV(EC170,"Preço")</f>
        <v>8.6</v>
      </c>
      <c r="BP170" s="69" t="s">
        <v>166</v>
      </c>
      <c r="BQ170" s="36" cm="1">
        <f t="array" aca="1" ref="BQ170" ca="1">_FV(EC170,"Média de volume",TRUE)</f>
        <v>4840</v>
      </c>
      <c r="BR170" s="36">
        <v>6700</v>
      </c>
      <c r="BS170" s="36" cm="1">
        <f t="array" aca="1" ref="BS170" ca="1">_FV(EC170,"Volume")</f>
        <v>6700</v>
      </c>
      <c r="BT170" s="24" cm="1">
        <f t="array" aca="1" ref="BT170" ca="1">_FV(EC170,"Beta")</f>
        <v>0.96099999999999997</v>
      </c>
      <c r="BU170" s="71" cm="1">
        <f t="array" aca="1" ref="BU170" ca="1">_FV(EC170,"Variação (%)",TRUE)</f>
        <v>-1.7142999999999999E-2</v>
      </c>
      <c r="BW170" s="17" cm="1">
        <f t="array" aca="1" ref="BW170" ca="1">_FV(EC170,"Baixo")</f>
        <v>8.59</v>
      </c>
      <c r="BX170" s="17" cm="1">
        <f t="array" aca="1" ref="BX170" ca="1">_FV(EC170,"Alto")</f>
        <v>8.82</v>
      </c>
      <c r="BY170" s="24"/>
      <c r="BZ170" s="63">
        <f ca="1">SQRT(22.5*(BO170/VLOOKUP(BP170,Fundamentus!A:U,3,FALSE))*(BO170/VLOOKUP(BP170,Fundamentus!A:U,4,FALSE)))</f>
        <v>16.706817342717066</v>
      </c>
      <c r="CB170" s="62">
        <f t="shared" ca="1" si="168"/>
        <v>0</v>
      </c>
      <c r="CC170" s="8"/>
      <c r="CD170" s="61">
        <f t="shared" si="169"/>
        <v>6.34</v>
      </c>
      <c r="CE170" s="61">
        <f t="shared" si="170"/>
        <v>9.19</v>
      </c>
      <c r="CF170" s="61">
        <f t="shared" si="171"/>
        <v>7.7889393939393967</v>
      </c>
      <c r="CG170" s="14"/>
      <c r="CH170" s="35">
        <f t="shared" si="154"/>
        <v>8.067243044352626</v>
      </c>
      <c r="CI170" s="15">
        <f t="shared" si="172"/>
        <v>8.5299999999999727</v>
      </c>
      <c r="CJ170" s="35">
        <f t="shared" si="155"/>
        <v>8.9927569556473195</v>
      </c>
      <c r="CL170" s="14"/>
      <c r="CM170" s="17">
        <f t="shared" si="156"/>
        <v>4.0466666666666669</v>
      </c>
      <c r="CN170" s="17">
        <f t="shared" si="157"/>
        <v>5.1933333333333334</v>
      </c>
      <c r="CO170" s="17">
        <f t="shared" si="158"/>
        <v>6.8966666666666665</v>
      </c>
      <c r="CP170" s="38">
        <f t="shared" si="173"/>
        <v>8.043333333333333</v>
      </c>
      <c r="CQ170" s="17">
        <f t="shared" si="159"/>
        <v>9.7466666666666661</v>
      </c>
      <c r="CR170" s="17">
        <f t="shared" si="160"/>
        <v>10.893333333333333</v>
      </c>
      <c r="CS170" s="17">
        <f t="shared" si="161"/>
        <v>12.596666666666666</v>
      </c>
      <c r="CT170" s="2" cm="1">
        <f t="array" aca="1" ref="CT170" ca="1">MAX(_xlfn._xlws.FILTER(CM170:CS170,CM170:CS170&lt;BO170))</f>
        <v>8.043333333333333</v>
      </c>
      <c r="CU170" s="2" cm="1">
        <f t="array" aca="1" ref="CU170" ca="1">MIN(_xlfn._xlws.FILTER($CM170:$CS170,$CM170:$CS170&gt;BO170))</f>
        <v>9.7466666666666661</v>
      </c>
      <c r="CV170" s="16">
        <f t="shared" ca="1" si="175"/>
        <v>0.21176958143389979</v>
      </c>
      <c r="CW170" s="20">
        <f t="shared" ca="1" si="176"/>
        <v>-0.10588479071694989</v>
      </c>
      <c r="CX170" s="20">
        <f t="shared" ca="1" si="177"/>
        <v>-7.0589860477966601E-2</v>
      </c>
      <c r="CY170" s="20">
        <f t="shared" ca="1" si="178"/>
        <v>-4.2353916286779959E-2</v>
      </c>
      <c r="CZ170" s="20">
        <f t="shared" ca="1" si="179"/>
        <v>-2.3529953492655534E-2</v>
      </c>
      <c r="DA170" s="20">
        <f t="shared" ca="1" si="180"/>
        <v>-1.2457034201994106E-2</v>
      </c>
      <c r="DB170" s="20">
        <f t="shared" ca="1" si="181"/>
        <v>-6.417260043451509E-3</v>
      </c>
      <c r="DC170" s="20">
        <f t="shared" ca="1" si="182"/>
        <v>-3.2579935605215353E-3</v>
      </c>
      <c r="DD170" s="21">
        <f t="shared" ca="1" si="183"/>
        <v>3.2579935605215353E-3</v>
      </c>
      <c r="DE170" s="21">
        <f t="shared" ca="1" si="184"/>
        <v>6.417260043451509E-3</v>
      </c>
      <c r="DF170" s="21">
        <f t="shared" ca="1" si="185"/>
        <v>1.2457034201994106E-2</v>
      </c>
      <c r="DG170" s="21">
        <f t="shared" ca="1" si="186"/>
        <v>2.3529953492655534E-2</v>
      </c>
      <c r="DH170" s="21">
        <f t="shared" ca="1" si="187"/>
        <v>4.2353916286779959E-2</v>
      </c>
      <c r="DI170" s="21">
        <f t="shared" ca="1" si="188"/>
        <v>7.0589860477966601E-2</v>
      </c>
      <c r="DJ170" s="21">
        <f t="shared" ca="1" si="189"/>
        <v>0.10588479071694989</v>
      </c>
      <c r="DL170" s="16" cm="1">
        <f t="array" aca="1" ref="DL170" ca="1">MAX(_xlfn._xlws.FILTER(CW170:DJ170,CW170:DJ170&lt;BU170))</f>
        <v>-2.3529953492655534E-2</v>
      </c>
      <c r="DM170" s="16" cm="1">
        <f t="array" aca="1" ref="DM170" ca="1">MIN(_xlfn._xlws.FILTER(CW170:DJ170,CW170:DJ170&gt;BU170))</f>
        <v>-1.2457034201994106E-2</v>
      </c>
      <c r="DN170" s="2" cm="1">
        <f t="array" aca="1" ref="DN170" ca="1">_FV(EC170,"Fechamento anterior",TRUE)</f>
        <v>8.75</v>
      </c>
      <c r="DO170" s="28">
        <f t="shared" ca="1" si="162"/>
        <v>0.57682135868045437</v>
      </c>
      <c r="DP170" s="15">
        <f t="shared" ca="1" si="190"/>
        <v>8.5441129069392634</v>
      </c>
      <c r="DQ170" s="15">
        <f t="shared" ca="1" si="191"/>
        <v>8.6410009507325523</v>
      </c>
      <c r="DR170" s="9"/>
      <c r="DS170" s="9"/>
      <c r="DT170" s="9"/>
      <c r="DU170" s="89">
        <v>3.1592664829299738E-3</v>
      </c>
      <c r="DV170" s="89">
        <f t="shared" ca="1" si="163"/>
        <v>1.1072919290661428E-2</v>
      </c>
      <c r="DW170" s="72">
        <f t="shared" ca="1" si="164"/>
        <v>0.15126731029273136</v>
      </c>
      <c r="DX170" s="37"/>
      <c r="DY170" s="35">
        <f t="shared" si="174"/>
        <v>0.23137847782367299</v>
      </c>
      <c r="DZ170" s="56"/>
      <c r="EA170" s="56"/>
      <c r="EC170" s="2" t="e" vm="172">
        <v>#VALUE!</v>
      </c>
      <c r="EE170" s="10" cm="1">
        <f t="array" aca="1" ref="EE170" ca="1">_FV(EC170,"Ações em circulação",TRUE)</f>
        <v>2289425000</v>
      </c>
      <c r="EF170" s="18">
        <f>VLOOKUP(BP170,Fundamentus!A:U,5,FALSE)</f>
        <v>0.58199999999999996</v>
      </c>
      <c r="EG170" s="2">
        <f t="shared" ca="1" si="165"/>
        <v>33829991408.934711</v>
      </c>
      <c r="EH170" s="17">
        <v>4485856860.8247423</v>
      </c>
      <c r="EI170" s="17">
        <f t="shared" ca="1" si="166"/>
        <v>4485856860.8247423</v>
      </c>
      <c r="EK170" s="16">
        <f t="shared" ca="1" si="153"/>
        <v>0</v>
      </c>
      <c r="EL170" s="32" t="str">
        <f>IF(VLOOKUP(BP170,Fundamentus!A:U,3,FALSE)&lt;15,"Bom",IF(VLOOKUP(BP170,Fundamentus!A:U,3,FALSE)&gt;15,"Ruim","n/a"))</f>
        <v>Bom</v>
      </c>
      <c r="EM170" s="28" t="str">
        <f>IF(VLOOKUP(BP170,Fundamentus!A:U,4,FALSE)&lt;1,"Baixo",IF(VLOOKUP(BP170,Fundamentus!A:U,4,FALSE)&lt;1.5,"Moderado",IF(VLOOKUP(BP170,Fundamentus!A:U,4,FALSE)&gt;1.5,"Alto","n/a")))</f>
        <v>Moderado</v>
      </c>
      <c r="EN170" s="17" t="str">
        <f>IF(VLOOKUP(BP170,Fundamentus!A:U,8,FALSE)&lt;0,"Risco elevado",IF(VLOOKUP(BP170,Fundamentus!A:U,8,FALSE)&lt;1,"Saudável",IF(VLOOKUP(BP170,Fundamentus!A:U,8,FALSE)&lt;3,"Estável",IF(VLOOKUP(BP170,Fundamentus!A:U,8,FALSE)&gt;3,"Alerta","n/a"))))</f>
        <v>Alerta</v>
      </c>
      <c r="EO170" s="28" t="str">
        <f t="shared" si="167"/>
        <v>Ruim</v>
      </c>
      <c r="EP170" s="17" t="str">
        <f>IF(VLOOKUP(BP170,Fundamentus!A:U,12,FALSE)&lt;2,"Subvalorizada",IF(VLOOKUP(BP170,Fundamentus!A:U,12,FALSE)&lt;6,"Muita barata",IF(VLOOKUP(BP170,Fundamentus!A:U,12,FALSE)&lt;6,"Barata",IF(VLOOKUP(BP170,Fundamentus!A:U,12,FALSE)&lt;8,"Atrativa",IF(VLOOKUP(BP170,Fundamentus!A:U,12,FALSE)&gt;8,"Supervalorizada","n/a")))))</f>
        <v>Muita barata</v>
      </c>
      <c r="ER170" s="17" t="str">
        <f>IF(VLOOKUP(BP170,Fundamentus!A:U,17,FALSE)&lt;0.1,"Fraco retorno",IF(VLOOKUP(BP170,Fundamentus!A:U,17,FALSE)&gt;0.1,"Bom retorno","n/a"))</f>
        <v>Bom retorno</v>
      </c>
      <c r="ES170" s="17" t="str">
        <f>IF(VLOOKUP(BP170,Fundamentus!A:U,16,FALSE)&lt;0.1,"Ineficiente",IF(VLOOKUP(BP170,Fundamentus!A:U,16,FALSE)&gt;0.1,"Eficiente","n/a"))</f>
        <v>Ineficiente</v>
      </c>
      <c r="ET170" s="33" t="str">
        <f>IF(VLOOKUP(BP170,Fundamentus!A:U,16,FALSE)&lt;0.1,"Oper. Ineficiente",IF(VLOOKUP(BP170,Fundamentus!A:U,16,FALSE)&gt;0.1,"Oper.Eficiente","n/a"))</f>
        <v>Oper. Ineficiente</v>
      </c>
      <c r="EU170" s="34">
        <f>VLOOKUP(BP170,Fundamentus!A:U,14,FALSE)</f>
        <v>0.1326</v>
      </c>
      <c r="EV170" s="17" t="str">
        <f>IF(VLOOKUP(BP170,Fundamentus!A:U,21,FALSE)&lt;0,"Negativo",IF(VLOOKUP(BP170,Fundamentus!A:U,21,FALSE)&lt;0.05,"Fraco",IF(VLOOKUP(BP170,Fundamentus!A:U,21,FALSE)&lt;0.1,"Bom",IF(VLOOKUP(BP170,Fundamentus!A:U,21,FALSE)&gt;0.1,"Muito bom","n/a"))))</f>
        <v>Muito bom</v>
      </c>
      <c r="EX170" s="29" t="str">
        <f>IF(VLOOKUP(BP170,Fundamentus!A:U,15,FALSE)&gt;1,"Bom",IF(VLOOKUP(BP170,Fundamentus!A:U,15,FALSE)&lt;1,"Ruim","n/a"))</f>
        <v>Bom</v>
      </c>
      <c r="EY170" s="17" t="str">
        <f>IF(VLOOKUP(BP170,Fundamentus!A:U,20,FALSE)&lt;0.5,"Baixa",IF(VLOOKUP(BP170,Fundamentus!A:U,20,FALSE)&lt;1,"Moderada",IF(VLOOKUP(BP170,Fundamentus!A:U,20,FALSE)&lt;2,"Alerta",IF(VLOOKUP(BP170,Fundamentus!A:U,20,FALSE)&gt;2,"Alta","n/a"))))</f>
        <v>Alta</v>
      </c>
      <c r="EZ170" s="10"/>
    </row>
    <row r="171" spans="1:156" s="2" customFormat="1" ht="11.25" x14ac:dyDescent="0.2">
      <c r="A171" s="4">
        <v>3.8</v>
      </c>
      <c r="B171" s="4">
        <v>3.64</v>
      </c>
      <c r="C171" s="4">
        <v>3.98</v>
      </c>
      <c r="D171" s="4">
        <v>3.77</v>
      </c>
      <c r="E171" s="4">
        <v>3.47</v>
      </c>
      <c r="F171" s="4">
        <v>3.45</v>
      </c>
      <c r="G171" s="4">
        <v>3.26</v>
      </c>
      <c r="H171" s="4">
        <v>3.1</v>
      </c>
      <c r="I171" s="4">
        <v>3.15</v>
      </c>
      <c r="J171" s="4">
        <v>3.61</v>
      </c>
      <c r="K171" s="4">
        <v>3.88</v>
      </c>
      <c r="L171" s="4">
        <v>3.48</v>
      </c>
      <c r="M171" s="4">
        <v>3.49</v>
      </c>
      <c r="N171" s="4">
        <v>3.54</v>
      </c>
      <c r="O171" s="4">
        <v>3.7</v>
      </c>
      <c r="P171" s="4">
        <v>3.5</v>
      </c>
      <c r="Q171" s="4">
        <v>3.45</v>
      </c>
      <c r="R171" s="4">
        <v>3.28</v>
      </c>
      <c r="S171" s="4">
        <v>3.26</v>
      </c>
      <c r="T171" s="4">
        <v>3.17</v>
      </c>
      <c r="U171" s="4">
        <v>2.76</v>
      </c>
      <c r="V171" s="4">
        <v>2.41</v>
      </c>
      <c r="W171" s="4">
        <v>2.41</v>
      </c>
      <c r="X171" s="4">
        <v>2.31</v>
      </c>
      <c r="Y171" s="4">
        <v>2.42</v>
      </c>
      <c r="Z171" s="4">
        <v>2.5499999999999998</v>
      </c>
      <c r="AA171" s="4">
        <v>2.3199999999999998</v>
      </c>
      <c r="AB171" s="4">
        <v>2.36</v>
      </c>
      <c r="AC171" s="4">
        <v>2.3199999999999998</v>
      </c>
      <c r="AD171" s="4">
        <v>2.4300000000000002</v>
      </c>
      <c r="AE171" s="4">
        <v>2.14</v>
      </c>
      <c r="AF171" s="4">
        <v>1.97</v>
      </c>
      <c r="AG171" s="4">
        <v>1.91</v>
      </c>
      <c r="AH171" s="4">
        <v>1.62</v>
      </c>
      <c r="AI171" s="4">
        <v>1.58</v>
      </c>
      <c r="AJ171" s="4">
        <v>1.53</v>
      </c>
      <c r="AK171" s="4">
        <v>1.55</v>
      </c>
      <c r="AL171" s="4">
        <v>1.63</v>
      </c>
      <c r="AM171" s="4">
        <v>1.85</v>
      </c>
      <c r="AN171" s="4">
        <v>2.06</v>
      </c>
      <c r="AO171" s="4">
        <v>1.93</v>
      </c>
      <c r="AP171" s="4">
        <v>2.2200000000000002</v>
      </c>
      <c r="AQ171" s="4">
        <v>2.14</v>
      </c>
      <c r="AR171" s="4">
        <v>1.69</v>
      </c>
      <c r="AS171" s="4">
        <v>1.85</v>
      </c>
      <c r="AT171" s="4">
        <v>2.09</v>
      </c>
      <c r="AU171" s="4">
        <v>2.1949999999999998</v>
      </c>
      <c r="AV171" s="4">
        <v>2.5</v>
      </c>
      <c r="AW171" s="4">
        <v>2.36</v>
      </c>
      <c r="AX171" s="4">
        <v>2.5299999999999998</v>
      </c>
      <c r="AY171" s="12">
        <v>3.1</v>
      </c>
      <c r="AZ171" s="12">
        <v>3.04</v>
      </c>
      <c r="BA171" s="12">
        <v>3.19</v>
      </c>
      <c r="BB171" s="15">
        <v>3.52</v>
      </c>
      <c r="BC171" s="52">
        <v>4.29</v>
      </c>
      <c r="BD171" s="52">
        <v>3.95</v>
      </c>
      <c r="BE171" s="52">
        <v>4.25</v>
      </c>
      <c r="BF171" s="52">
        <v>3.95</v>
      </c>
      <c r="BG171" s="67">
        <v>4.03</v>
      </c>
      <c r="BH171" s="52">
        <v>4.0599999999999996</v>
      </c>
      <c r="BI171" s="52">
        <v>4.1500000000000004</v>
      </c>
      <c r="BJ171" s="52">
        <v>4.4000000000000004</v>
      </c>
      <c r="BK171" s="52">
        <v>3.8</v>
      </c>
      <c r="BL171" s="52">
        <v>3.66</v>
      </c>
      <c r="BM171" s="52">
        <v>3.63</v>
      </c>
      <c r="BN171" s="52">
        <v>3.7</v>
      </c>
      <c r="BO171" s="52" cm="1">
        <f t="array" aca="1" ref="BO171" ca="1">_FV(EC171,"Preço")</f>
        <v>3.7</v>
      </c>
      <c r="BP171" s="69" t="s">
        <v>167</v>
      </c>
      <c r="BQ171" s="36" cm="1">
        <f t="array" aca="1" ref="BQ171" ca="1">_FV(EC171,"Média de volume",TRUE)</f>
        <v>4116720</v>
      </c>
      <c r="BR171" s="36">
        <v>4476700</v>
      </c>
      <c r="BS171" s="36" cm="1">
        <f t="array" aca="1" ref="BS171" ca="1">_FV(EC171,"Volume")</f>
        <v>4476700</v>
      </c>
      <c r="BT171" s="24" cm="1">
        <f t="array" aca="1" ref="BT171" ca="1">_FV(EC171,"Beta")</f>
        <v>2.8858999999999999</v>
      </c>
      <c r="BU171" s="71" cm="1">
        <f t="array" aca="1" ref="BU171" ca="1">_FV(EC171,"Variação (%)",TRUE)</f>
        <v>1.6484000000000002E-2</v>
      </c>
      <c r="BW171" s="17" cm="1">
        <f t="array" aca="1" ref="BW171" ca="1">_FV(EC171,"Baixo")</f>
        <v>3.63</v>
      </c>
      <c r="BX171" s="17" cm="1">
        <f t="array" aca="1" ref="BX171" ca="1">_FV(EC171,"Alto")</f>
        <v>3.78</v>
      </c>
      <c r="BY171" s="24"/>
      <c r="BZ171" s="63">
        <f ca="1">SQRT(22.5*(BO171/VLOOKUP(BP171,Fundamentus!A:U,3,FALSE))*(BO171/VLOOKUP(BP171,Fundamentus!A:U,4,FALSE)))</f>
        <v>6.2619389749540293</v>
      </c>
      <c r="CB171" s="62">
        <f t="shared" ca="1" si="168"/>
        <v>0</v>
      </c>
      <c r="CC171" s="8"/>
      <c r="CD171" s="61">
        <f t="shared" si="169"/>
        <v>1.53</v>
      </c>
      <c r="CE171" s="61">
        <f t="shared" si="170"/>
        <v>4.4000000000000004</v>
      </c>
      <c r="CF171" s="61">
        <f t="shared" si="171"/>
        <v>2.9444696969696964</v>
      </c>
      <c r="CG171" s="14"/>
      <c r="CH171" s="35">
        <f t="shared" si="154"/>
        <v>3.0413938633521931</v>
      </c>
      <c r="CI171" s="15">
        <f t="shared" si="172"/>
        <v>3.6149999999999807</v>
      </c>
      <c r="CJ171" s="35">
        <f t="shared" si="155"/>
        <v>4.1886061366477687</v>
      </c>
      <c r="CL171" s="14"/>
      <c r="CM171" s="17">
        <f t="shared" si="156"/>
        <v>-0.84999999999999987</v>
      </c>
      <c r="CN171" s="17">
        <f t="shared" si="157"/>
        <v>0.3400000000000003</v>
      </c>
      <c r="CO171" s="17">
        <f t="shared" si="158"/>
        <v>2.0200000000000005</v>
      </c>
      <c r="CP171" s="38">
        <f t="shared" si="173"/>
        <v>3.2100000000000004</v>
      </c>
      <c r="CQ171" s="17">
        <f t="shared" si="159"/>
        <v>4.8900000000000006</v>
      </c>
      <c r="CR171" s="17">
        <f t="shared" si="160"/>
        <v>6.08</v>
      </c>
      <c r="CS171" s="17">
        <f t="shared" si="161"/>
        <v>7.7600000000000016</v>
      </c>
      <c r="CT171" s="2" cm="1">
        <f t="array" aca="1" ref="CT171" ca="1">MAX(_xlfn._xlws.FILTER(CM171:CS171,CM171:CS171&lt;BO171))</f>
        <v>3.2100000000000004</v>
      </c>
      <c r="CU171" s="2" cm="1">
        <f t="array" aca="1" ref="CU171" ca="1">MIN(_xlfn._xlws.FILTER($CM171:$CS171,$CM171:$CS171&gt;BO171))</f>
        <v>4.8900000000000006</v>
      </c>
      <c r="CV171" s="16">
        <f t="shared" ca="1" si="175"/>
        <v>0.52336448598130847</v>
      </c>
      <c r="CW171" s="20">
        <f t="shared" ca="1" si="176"/>
        <v>-0.26168224299065423</v>
      </c>
      <c r="CX171" s="20">
        <f t="shared" ca="1" si="177"/>
        <v>-0.17445482866043616</v>
      </c>
      <c r="CY171" s="20">
        <f t="shared" ca="1" si="178"/>
        <v>-0.10467289719626169</v>
      </c>
      <c r="CZ171" s="20">
        <f t="shared" ca="1" si="179"/>
        <v>-5.8151609553478721E-2</v>
      </c>
      <c r="DA171" s="20">
        <f t="shared" ca="1" si="180"/>
        <v>-3.0786146234194615E-2</v>
      </c>
      <c r="DB171" s="20">
        <f t="shared" ca="1" si="181"/>
        <v>-1.5859529878221468E-2</v>
      </c>
      <c r="DC171" s="20">
        <f t="shared" ca="1" si="182"/>
        <v>-8.0517613227893605E-3</v>
      </c>
      <c r="DD171" s="21">
        <f t="shared" ca="1" si="183"/>
        <v>8.0517613227893605E-3</v>
      </c>
      <c r="DE171" s="21">
        <f t="shared" ca="1" si="184"/>
        <v>1.5859529878221468E-2</v>
      </c>
      <c r="DF171" s="21">
        <f t="shared" ca="1" si="185"/>
        <v>3.0786146234194615E-2</v>
      </c>
      <c r="DG171" s="21">
        <f t="shared" ca="1" si="186"/>
        <v>5.8151609553478721E-2</v>
      </c>
      <c r="DH171" s="21">
        <f t="shared" ca="1" si="187"/>
        <v>0.10467289719626169</v>
      </c>
      <c r="DI171" s="21">
        <f t="shared" ca="1" si="188"/>
        <v>0.17445482866043616</v>
      </c>
      <c r="DJ171" s="21">
        <f t="shared" ca="1" si="189"/>
        <v>0.26168224299065423</v>
      </c>
      <c r="DL171" s="16" cm="1">
        <f t="array" aca="1" ref="DL171" ca="1">MAX(_xlfn._xlws.FILTER(CW171:DJ171,CW171:DJ171&lt;BU171))</f>
        <v>1.5859529878221468E-2</v>
      </c>
      <c r="DM171" s="16" cm="1">
        <f t="array" aca="1" ref="DM171" ca="1">MIN(_xlfn._xlws.FILTER(CW171:DJ171,CW171:DJ171&gt;BU171))</f>
        <v>3.0786146234194615E-2</v>
      </c>
      <c r="DN171" s="2" cm="1">
        <f t="array" aca="1" ref="DN171" ca="1">_FV(EC171,"Fechamento anterior",TRUE)</f>
        <v>3.64</v>
      </c>
      <c r="DO171" s="28">
        <f t="shared" ca="1" si="162"/>
        <v>4.1803620486654085E-2</v>
      </c>
      <c r="DP171" s="15">
        <f t="shared" ca="1" si="190"/>
        <v>3.6977286887567264</v>
      </c>
      <c r="DQ171" s="15">
        <f t="shared" ca="1" si="191"/>
        <v>3.7520615722924684</v>
      </c>
      <c r="DR171" s="9"/>
      <c r="DS171" s="9"/>
      <c r="DT171" s="9"/>
      <c r="DU171" s="89">
        <v>7.7781099678909914E-3</v>
      </c>
      <c r="DV171" s="89">
        <f t="shared" ca="1" si="163"/>
        <v>1.4926616355973147E-2</v>
      </c>
      <c r="DW171" s="72">
        <f t="shared" ca="1" si="164"/>
        <v>0.14818530446129485</v>
      </c>
      <c r="DX171" s="37"/>
      <c r="DY171" s="35">
        <f t="shared" si="174"/>
        <v>0.2868030683238938</v>
      </c>
      <c r="DZ171" s="56"/>
      <c r="EA171" s="56"/>
      <c r="EC171" s="2" t="e" vm="173">
        <v>#VALUE!</v>
      </c>
      <c r="EE171" s="10" cm="1">
        <f t="array" aca="1" ref="EE171" ca="1">_FV(EC171,"Ações em circulação",TRUE)</f>
        <v>403868800</v>
      </c>
      <c r="EF171" s="18">
        <f>VLOOKUP(BP171,Fundamentus!A:U,5,FALSE)</f>
        <v>0.38300000000000001</v>
      </c>
      <c r="EG171" s="2">
        <f t="shared" ca="1" si="165"/>
        <v>3901604595.300261</v>
      </c>
      <c r="EH171" s="17">
        <v>250483015.01827672</v>
      </c>
      <c r="EI171" s="17">
        <f t="shared" ca="1" si="166"/>
        <v>250483015.01827672</v>
      </c>
      <c r="EK171" s="16">
        <f t="shared" ca="1" si="153"/>
        <v>0</v>
      </c>
      <c r="EL171" s="32" t="str">
        <f>IF(VLOOKUP(BP171,Fundamentus!A:U,3,FALSE)&lt;15,"Bom",IF(VLOOKUP(BP171,Fundamentus!A:U,3,FALSE)&gt;15,"Ruim","n/a"))</f>
        <v>Bom</v>
      </c>
      <c r="EM171" s="28" t="str">
        <f>IF(VLOOKUP(BP171,Fundamentus!A:U,4,FALSE)&lt;1,"Baixo",IF(VLOOKUP(BP171,Fundamentus!A:U,4,FALSE)&lt;1.5,"Moderado",IF(VLOOKUP(BP171,Fundamentus!A:U,4,FALSE)&gt;1.5,"Alto","n/a")))</f>
        <v>Baixo</v>
      </c>
      <c r="EN171" s="17" t="str">
        <f>IF(VLOOKUP(BP171,Fundamentus!A:U,8,FALSE)&lt;0,"Risco elevado",IF(VLOOKUP(BP171,Fundamentus!A:U,8,FALSE)&lt;1,"Saudável",IF(VLOOKUP(BP171,Fundamentus!A:U,8,FALSE)&lt;3,"Estável",IF(VLOOKUP(BP171,Fundamentus!A:U,8,FALSE)&gt;3,"Alerta","n/a"))))</f>
        <v>Estável</v>
      </c>
      <c r="EO171" s="28" t="str">
        <f t="shared" si="167"/>
        <v>Ruim</v>
      </c>
      <c r="EP171" s="17" t="str">
        <f>IF(VLOOKUP(BP171,Fundamentus!A:U,12,FALSE)&lt;2,"Subvalorizada",IF(VLOOKUP(BP171,Fundamentus!A:U,12,FALSE)&lt;6,"Muita barata",IF(VLOOKUP(BP171,Fundamentus!A:U,12,FALSE)&lt;6,"Barata",IF(VLOOKUP(BP171,Fundamentus!A:U,12,FALSE)&lt;8,"Atrativa",IF(VLOOKUP(BP171,Fundamentus!A:U,12,FALSE)&gt;8,"Supervalorizada","n/a")))))</f>
        <v>Muita barata</v>
      </c>
      <c r="ER171" s="17" t="str">
        <f>IF(VLOOKUP(BP171,Fundamentus!A:U,17,FALSE)&lt;0.1,"Fraco retorno",IF(VLOOKUP(BP171,Fundamentus!A:U,17,FALSE)&gt;0.1,"Bom retorno","n/a"))</f>
        <v>Fraco retorno</v>
      </c>
      <c r="ES171" s="17" t="str">
        <f>IF(VLOOKUP(BP171,Fundamentus!A:U,16,FALSE)&lt;0.1,"Ineficiente",IF(VLOOKUP(BP171,Fundamentus!A:U,16,FALSE)&gt;0.1,"Eficiente","n/a"))</f>
        <v>Eficiente</v>
      </c>
      <c r="ET171" s="33" t="str">
        <f>IF(VLOOKUP(BP171,Fundamentus!A:U,16,FALSE)&lt;0.1,"Oper. Ineficiente",IF(VLOOKUP(BP171,Fundamentus!A:U,16,FALSE)&gt;0.1,"Oper.Eficiente","n/a"))</f>
        <v>Oper.Eficiente</v>
      </c>
      <c r="EU171" s="34">
        <f>VLOOKUP(BP171,Fundamentus!A:U,14,FALSE)</f>
        <v>6.4199999999999993E-2</v>
      </c>
      <c r="EV171" s="17" t="str">
        <f>IF(VLOOKUP(BP171,Fundamentus!A:U,21,FALSE)&lt;0,"Negativo",IF(VLOOKUP(BP171,Fundamentus!A:U,21,FALSE)&lt;0.05,"Fraco",IF(VLOOKUP(BP171,Fundamentus!A:U,21,FALSE)&lt;0.1,"Bom",IF(VLOOKUP(BP171,Fundamentus!A:U,21,FALSE)&gt;0.1,"Muito bom","n/a"))))</f>
        <v>Muito bom</v>
      </c>
      <c r="EX171" s="29" t="str">
        <f>IF(VLOOKUP(BP171,Fundamentus!A:U,15,FALSE)&gt;1,"Bom",IF(VLOOKUP(BP171,Fundamentus!A:U,15,FALSE)&lt;1,"Ruim","n/a"))</f>
        <v>Bom</v>
      </c>
      <c r="EY171" s="17" t="str">
        <f>IF(VLOOKUP(BP171,Fundamentus!A:U,20,FALSE)&lt;0.5,"Baixa",IF(VLOOKUP(BP171,Fundamentus!A:U,20,FALSE)&lt;1,"Moderada",IF(VLOOKUP(BP171,Fundamentus!A:U,20,FALSE)&lt;2,"Alerta",IF(VLOOKUP(BP171,Fundamentus!A:U,20,FALSE)&gt;2,"Alta","n/a"))))</f>
        <v>Alta</v>
      </c>
      <c r="EZ171" s="10"/>
    </row>
    <row r="172" spans="1:156" s="2" customFormat="1" ht="11.25" x14ac:dyDescent="0.2">
      <c r="A172" s="4">
        <v>46.75</v>
      </c>
      <c r="B172" s="4">
        <v>46.78</v>
      </c>
      <c r="C172" s="4">
        <v>48.12</v>
      </c>
      <c r="D172" s="4">
        <v>43.38</v>
      </c>
      <c r="E172" s="4">
        <v>41.59</v>
      </c>
      <c r="F172" s="4">
        <v>39.92</v>
      </c>
      <c r="G172" s="4">
        <v>42.01</v>
      </c>
      <c r="H172" s="4">
        <v>41.33</v>
      </c>
      <c r="I172" s="4">
        <v>43.76</v>
      </c>
      <c r="J172" s="4">
        <v>46.55</v>
      </c>
      <c r="K172" s="4">
        <v>45.59</v>
      </c>
      <c r="L172" s="4">
        <v>45.29</v>
      </c>
      <c r="M172" s="4">
        <v>47.5</v>
      </c>
      <c r="N172" s="4">
        <v>46.01</v>
      </c>
      <c r="O172" s="4">
        <v>47.83</v>
      </c>
      <c r="P172" s="4">
        <v>49.29</v>
      </c>
      <c r="Q172" s="4">
        <v>47.05</v>
      </c>
      <c r="R172" s="4">
        <v>46.84</v>
      </c>
      <c r="S172" s="4">
        <v>42.46</v>
      </c>
      <c r="T172" s="4">
        <v>43.31</v>
      </c>
      <c r="U172" s="4">
        <v>44.2</v>
      </c>
      <c r="V172" s="4">
        <v>43.58</v>
      </c>
      <c r="W172" s="4">
        <v>44.81</v>
      </c>
      <c r="X172" s="4">
        <v>44.26</v>
      </c>
      <c r="Y172" s="4">
        <v>41.8</v>
      </c>
      <c r="Z172" s="4">
        <v>41.65</v>
      </c>
      <c r="AA172" s="4">
        <v>39.85</v>
      </c>
      <c r="AB172" s="4">
        <v>38.9</v>
      </c>
      <c r="AC172" s="4">
        <v>39.700000000000003</v>
      </c>
      <c r="AD172" s="4">
        <v>40.4</v>
      </c>
      <c r="AE172" s="4">
        <v>40.15</v>
      </c>
      <c r="AF172" s="4">
        <v>39.700000000000003</v>
      </c>
      <c r="AG172" s="4">
        <v>41.5</v>
      </c>
      <c r="AH172" s="4">
        <v>39.25</v>
      </c>
      <c r="AI172" s="4">
        <v>39.909999999999997</v>
      </c>
      <c r="AJ172" s="4">
        <v>40.619999999999997</v>
      </c>
      <c r="AK172" s="4">
        <v>42.63</v>
      </c>
      <c r="AL172" s="4">
        <v>42.71</v>
      </c>
      <c r="AM172" s="4">
        <v>41.15</v>
      </c>
      <c r="AN172" s="4">
        <v>40.99</v>
      </c>
      <c r="AO172" s="4">
        <v>39.619999999999997</v>
      </c>
      <c r="AP172" s="4">
        <v>39.43</v>
      </c>
      <c r="AQ172" s="4">
        <v>37.700000000000003</v>
      </c>
      <c r="AR172" s="4">
        <v>38.17</v>
      </c>
      <c r="AS172" s="4">
        <v>38.32</v>
      </c>
      <c r="AT172" s="4">
        <v>39.35</v>
      </c>
      <c r="AU172" s="4">
        <v>39.045000000000002</v>
      </c>
      <c r="AV172" s="4">
        <v>40.14</v>
      </c>
      <c r="AW172" s="4">
        <v>33.9</v>
      </c>
      <c r="AX172" s="4">
        <v>34.33</v>
      </c>
      <c r="AY172" s="12">
        <v>34.56</v>
      </c>
      <c r="AZ172" s="12">
        <v>34.880000000000003</v>
      </c>
      <c r="BA172" s="12">
        <v>33.71</v>
      </c>
      <c r="BB172" s="15">
        <v>36.659999999999997</v>
      </c>
      <c r="BC172" s="52">
        <v>39</v>
      </c>
      <c r="BD172" s="52">
        <v>38.799999999999997</v>
      </c>
      <c r="BE172" s="52">
        <v>38.950000000000003</v>
      </c>
      <c r="BF172" s="52">
        <v>42.51</v>
      </c>
      <c r="BG172" s="67">
        <v>43.98</v>
      </c>
      <c r="BH172" s="52">
        <v>43.56</v>
      </c>
      <c r="BI172" s="52">
        <v>41.87</v>
      </c>
      <c r="BJ172" s="52">
        <v>42.58</v>
      </c>
      <c r="BK172" s="52">
        <v>42.76</v>
      </c>
      <c r="BL172" s="52">
        <v>43.29</v>
      </c>
      <c r="BM172" s="52">
        <v>41.9</v>
      </c>
      <c r="BN172" s="52">
        <v>40.99</v>
      </c>
      <c r="BO172" s="52" cm="1">
        <f t="array" aca="1" ref="BO172" ca="1">_FV(EC172,"Preço")</f>
        <v>40.99</v>
      </c>
      <c r="BP172" s="69" t="s">
        <v>168</v>
      </c>
      <c r="BQ172" s="36" cm="1">
        <f t="array" aca="1" ref="BQ172" ca="1">_FV(EC172,"Média de volume",TRUE)</f>
        <v>6099520</v>
      </c>
      <c r="BR172" s="36">
        <v>11255100</v>
      </c>
      <c r="BS172" s="36" cm="1">
        <f t="array" aca="1" ref="BS172" ca="1">_FV(EC172,"Volume")</f>
        <v>11255100</v>
      </c>
      <c r="BT172" s="24" cm="1">
        <f t="array" aca="1" ref="BT172" ca="1">_FV(EC172,"Beta")</f>
        <v>1.3072999999999999</v>
      </c>
      <c r="BU172" s="71" cm="1">
        <f t="array" aca="1" ref="BU172" ca="1">_FV(EC172,"Variação (%)",TRUE)</f>
        <v>-2.8443E-2</v>
      </c>
      <c r="BW172" s="17" cm="1">
        <f t="array" aca="1" ref="BW172" ca="1">_FV(EC172,"Baixo")</f>
        <v>40.92</v>
      </c>
      <c r="BX172" s="17" cm="1">
        <f t="array" aca="1" ref="BX172" ca="1">_FV(EC172,"Alto")</f>
        <v>42.75</v>
      </c>
      <c r="BY172" s="24"/>
      <c r="BZ172" s="63">
        <f ca="1">SQRT(22.5*(BO172/VLOOKUP(BP172,Fundamentus!A:U,3,FALSE))*(BO172/VLOOKUP(BP172,Fundamentus!A:U,4,FALSE)))</f>
        <v>88.70161352820756</v>
      </c>
      <c r="CB172" s="62">
        <f t="shared" ca="1" si="168"/>
        <v>0</v>
      </c>
      <c r="CC172" s="8"/>
      <c r="CD172" s="61">
        <f t="shared" si="169"/>
        <v>33.71</v>
      </c>
      <c r="CE172" s="61">
        <f t="shared" si="170"/>
        <v>49.29</v>
      </c>
      <c r="CF172" s="61">
        <f t="shared" si="171"/>
        <v>41.653409090909101</v>
      </c>
      <c r="CG172" s="14"/>
      <c r="CH172" s="35">
        <f t="shared" si="154"/>
        <v>38.973527182709518</v>
      </c>
      <c r="CI172" s="15">
        <f t="shared" si="172"/>
        <v>40.559999999999491</v>
      </c>
      <c r="CJ172" s="35">
        <f t="shared" si="155"/>
        <v>42.146472817289464</v>
      </c>
      <c r="CL172" s="14"/>
      <c r="CM172" s="17">
        <f t="shared" si="156"/>
        <v>17.790000000000013</v>
      </c>
      <c r="CN172" s="17">
        <f t="shared" si="157"/>
        <v>25.750000000000007</v>
      </c>
      <c r="CO172" s="17">
        <f t="shared" si="158"/>
        <v>33.370000000000012</v>
      </c>
      <c r="CP172" s="38">
        <f t="shared" si="173"/>
        <v>41.330000000000005</v>
      </c>
      <c r="CQ172" s="17">
        <f t="shared" si="159"/>
        <v>48.95000000000001</v>
      </c>
      <c r="CR172" s="17">
        <f t="shared" si="160"/>
        <v>56.910000000000004</v>
      </c>
      <c r="CS172" s="17">
        <f t="shared" si="161"/>
        <v>64.53</v>
      </c>
      <c r="CT172" s="2" cm="1">
        <f t="array" aca="1" ref="CT172" ca="1">MAX(_xlfn._xlws.FILTER(CM172:CS172,CM172:CS172&lt;BO172))</f>
        <v>33.370000000000012</v>
      </c>
      <c r="CU172" s="2" cm="1">
        <f t="array" aca="1" ref="CU172" ca="1">MIN(_xlfn._xlws.FILTER($CM172:$CS172,$CM172:$CS172&gt;BO172))</f>
        <v>41.330000000000005</v>
      </c>
      <c r="CV172" s="16">
        <f t="shared" ca="1" si="175"/>
        <v>0.23853760863050621</v>
      </c>
      <c r="CW172" s="20">
        <f t="shared" ca="1" si="176"/>
        <v>-0.11926880431525311</v>
      </c>
      <c r="CX172" s="20">
        <f t="shared" ca="1" si="177"/>
        <v>-7.9512536210168738E-2</v>
      </c>
      <c r="CY172" s="20">
        <f t="shared" ca="1" si="178"/>
        <v>-4.7707521726101244E-2</v>
      </c>
      <c r="CZ172" s="20">
        <f t="shared" ca="1" si="179"/>
        <v>-2.6504178736722912E-2</v>
      </c>
      <c r="DA172" s="20">
        <f t="shared" ca="1" si="180"/>
        <v>-1.4031624037088601E-2</v>
      </c>
      <c r="DB172" s="20">
        <f t="shared" ca="1" si="181"/>
        <v>-7.2284123827426128E-3</v>
      </c>
      <c r="DC172" s="20">
        <f t="shared" ca="1" si="182"/>
        <v>-3.6698093635462495E-3</v>
      </c>
      <c r="DD172" s="21">
        <f t="shared" ca="1" si="183"/>
        <v>3.6698093635462495E-3</v>
      </c>
      <c r="DE172" s="21">
        <f t="shared" ca="1" si="184"/>
        <v>7.2284123827426128E-3</v>
      </c>
      <c r="DF172" s="21">
        <f t="shared" ca="1" si="185"/>
        <v>1.4031624037088601E-2</v>
      </c>
      <c r="DG172" s="21">
        <f t="shared" ca="1" si="186"/>
        <v>2.6504178736722912E-2</v>
      </c>
      <c r="DH172" s="21">
        <f t="shared" ca="1" si="187"/>
        <v>4.7707521726101244E-2</v>
      </c>
      <c r="DI172" s="21">
        <f t="shared" ca="1" si="188"/>
        <v>7.9512536210168738E-2</v>
      </c>
      <c r="DJ172" s="21">
        <f t="shared" ca="1" si="189"/>
        <v>0.11926880431525311</v>
      </c>
      <c r="DL172" s="16" cm="1">
        <f t="array" aca="1" ref="DL172" ca="1">MAX(_xlfn._xlws.FILTER(CW172:DJ172,CW172:DJ172&lt;BU172))</f>
        <v>-4.7707521726101244E-2</v>
      </c>
      <c r="DM172" s="16" cm="1">
        <f t="array" aca="1" ref="DM172" ca="1">MIN(_xlfn._xlws.FILTER(CW172:DJ172,CW172:DJ172&gt;BU172))</f>
        <v>-2.6504178736722912E-2</v>
      </c>
      <c r="DN172" s="2" cm="1">
        <f t="array" aca="1" ref="DN172" ca="1">_FV(EC172,"Fechamento anterior",TRUE)</f>
        <v>42.19</v>
      </c>
      <c r="DO172" s="28">
        <f t="shared" ca="1" si="162"/>
        <v>0.90857195434389526</v>
      </c>
      <c r="DP172" s="15">
        <f t="shared" ca="1" si="190"/>
        <v>40.177219658375783</v>
      </c>
      <c r="DQ172" s="15">
        <f t="shared" ca="1" si="191"/>
        <v>41.07178869909766</v>
      </c>
      <c r="DR172" s="9"/>
      <c r="DS172" s="9"/>
      <c r="DT172" s="9"/>
      <c r="DU172" s="89">
        <v>5.8778757593972763E-3</v>
      </c>
      <c r="DV172" s="89">
        <f t="shared" ca="1" si="163"/>
        <v>2.1203342989378333E-2</v>
      </c>
      <c r="DW172" s="72">
        <f t="shared" ca="1" si="164"/>
        <v>0.27104151758177686</v>
      </c>
      <c r="DX172" s="37"/>
      <c r="DY172" s="35">
        <f t="shared" si="174"/>
        <v>0.79323640864498801</v>
      </c>
      <c r="DZ172" s="56"/>
      <c r="EA172" s="56"/>
      <c r="EC172" s="2" t="e" vm="174">
        <v>#VALUE!</v>
      </c>
      <c r="EE172" s="10" cm="1">
        <f t="array" aca="1" ref="EE172" ca="1">_FV(EC172,"Ações em circulação",TRUE)</f>
        <v>896346200</v>
      </c>
      <c r="EF172" s="18">
        <f>VLOOKUP(BP172,Fundamentus!A:U,5,FALSE)</f>
        <v>2.44</v>
      </c>
      <c r="EG172" s="2">
        <f t="shared" ca="1" si="165"/>
        <v>15057881450</v>
      </c>
      <c r="EH172" s="17">
        <v>10933527720.844999</v>
      </c>
      <c r="EI172" s="17">
        <f t="shared" ca="1" si="166"/>
        <v>10933527720.844999</v>
      </c>
      <c r="EK172" s="16">
        <f t="shared" ca="1" si="153"/>
        <v>0</v>
      </c>
      <c r="EL172" s="32" t="str">
        <f>IF(VLOOKUP(BP172,Fundamentus!A:U,3,FALSE)&lt;15,"Bom",IF(VLOOKUP(BP172,Fundamentus!A:U,3,FALSE)&gt;15,"Ruim","n/a"))</f>
        <v>Bom</v>
      </c>
      <c r="EM172" s="28" t="str">
        <f>IF(VLOOKUP(BP172,Fundamentus!A:U,4,FALSE)&lt;1,"Baixo",IF(VLOOKUP(BP172,Fundamentus!A:U,4,FALSE)&lt;1.5,"Moderado",IF(VLOOKUP(BP172,Fundamentus!A:U,4,FALSE)&gt;1.5,"Alto","n/a")))</f>
        <v>Moderado</v>
      </c>
      <c r="EN172" s="17" t="str">
        <f>IF(VLOOKUP(BP172,Fundamentus!A:U,8,FALSE)&lt;0,"Risco elevado",IF(VLOOKUP(BP172,Fundamentus!A:U,8,FALSE)&lt;1,"Saudável",IF(VLOOKUP(BP172,Fundamentus!A:U,8,FALSE)&lt;3,"Estável",IF(VLOOKUP(BP172,Fundamentus!A:U,8,FALSE)&gt;3,"Alerta","n/a"))))</f>
        <v>Alerta</v>
      </c>
      <c r="EO172" s="28" t="str">
        <f t="shared" si="167"/>
        <v>Bom</v>
      </c>
      <c r="EP172" s="17" t="str">
        <f>IF(VLOOKUP(BP172,Fundamentus!A:U,12,FALSE)&lt;2,"Subvalorizada",IF(VLOOKUP(BP172,Fundamentus!A:U,12,FALSE)&lt;6,"Muita barata",IF(VLOOKUP(BP172,Fundamentus!A:U,12,FALSE)&lt;6,"Barata",IF(VLOOKUP(BP172,Fundamentus!A:U,12,FALSE)&lt;8,"Atrativa",IF(VLOOKUP(BP172,Fundamentus!A:U,12,FALSE)&gt;8,"Supervalorizada","n/a")))))</f>
        <v>Muita barata</v>
      </c>
      <c r="ER172" s="17" t="str">
        <f>IF(VLOOKUP(BP172,Fundamentus!A:U,17,FALSE)&lt;0.1,"Fraco retorno",IF(VLOOKUP(BP172,Fundamentus!A:U,17,FALSE)&gt;0.1,"Bom retorno","n/a"))</f>
        <v>Bom retorno</v>
      </c>
      <c r="ES172" s="17" t="str">
        <f>IF(VLOOKUP(BP172,Fundamentus!A:U,16,FALSE)&lt;0.1,"Ineficiente",IF(VLOOKUP(BP172,Fundamentus!A:U,16,FALSE)&gt;0.1,"Eficiente","n/a"))</f>
        <v>Eficiente</v>
      </c>
      <c r="ET172" s="33" t="str">
        <f>IF(VLOOKUP(BP172,Fundamentus!A:U,16,FALSE)&lt;0.1,"Oper. Ineficiente",IF(VLOOKUP(BP172,Fundamentus!A:U,16,FALSE)&gt;0.1,"Oper.Eficiente","n/a"))</f>
        <v>Oper.Eficiente</v>
      </c>
      <c r="EU172" s="34">
        <f>VLOOKUP(BP172,Fundamentus!A:U,14,FALSE)</f>
        <v>0.72609999999999997</v>
      </c>
      <c r="EV172" s="17" t="str">
        <f>IF(VLOOKUP(BP172,Fundamentus!A:U,21,FALSE)&lt;0,"Negativo",IF(VLOOKUP(BP172,Fundamentus!A:U,21,FALSE)&lt;0.05,"Fraco",IF(VLOOKUP(BP172,Fundamentus!A:U,21,FALSE)&lt;0.1,"Bom",IF(VLOOKUP(BP172,Fundamentus!A:U,21,FALSE)&gt;0.1,"Muito bom","n/a"))))</f>
        <v>Muito bom</v>
      </c>
      <c r="EX172" s="29" t="str">
        <f>IF(VLOOKUP(BP172,Fundamentus!A:U,15,FALSE)&gt;1,"Bom",IF(VLOOKUP(BP172,Fundamentus!A:U,15,FALSE)&lt;1,"Ruim","n/a"))</f>
        <v>Bom</v>
      </c>
      <c r="EY172" s="17" t="str">
        <f>IF(VLOOKUP(BP172,Fundamentus!A:U,20,FALSE)&lt;0.5,"Baixa",IF(VLOOKUP(BP172,Fundamentus!A:U,20,FALSE)&lt;1,"Moderada",IF(VLOOKUP(BP172,Fundamentus!A:U,20,FALSE)&lt;2,"Alerta",IF(VLOOKUP(BP172,Fundamentus!A:U,20,FALSE)&gt;2,"Alta","n/a"))))</f>
        <v>Moderada</v>
      </c>
      <c r="EZ172" s="10"/>
    </row>
    <row r="173" spans="1:156" s="2" customFormat="1" ht="11.25" x14ac:dyDescent="0.2">
      <c r="A173" s="4">
        <v>12.2</v>
      </c>
      <c r="B173" s="4">
        <v>12.3</v>
      </c>
      <c r="C173" s="4">
        <v>11.94</v>
      </c>
      <c r="D173" s="4">
        <v>11.67</v>
      </c>
      <c r="E173" s="4">
        <v>11.37</v>
      </c>
      <c r="F173" s="4">
        <v>11.43</v>
      </c>
      <c r="G173" s="4">
        <v>11.18</v>
      </c>
      <c r="H173" s="4">
        <v>11.54</v>
      </c>
      <c r="I173" s="4">
        <v>11.32</v>
      </c>
      <c r="J173" s="4">
        <v>12.01</v>
      </c>
      <c r="K173" s="4">
        <v>12</v>
      </c>
      <c r="L173" s="4">
        <v>11.94</v>
      </c>
      <c r="M173" s="4">
        <v>11.54</v>
      </c>
      <c r="N173" s="4">
        <v>11.49</v>
      </c>
      <c r="O173" s="4">
        <v>11.77</v>
      </c>
      <c r="P173" s="4">
        <v>11.82</v>
      </c>
      <c r="Q173" s="4">
        <v>11.85</v>
      </c>
      <c r="R173" s="4">
        <v>11.26</v>
      </c>
      <c r="S173" s="4">
        <v>11.59</v>
      </c>
      <c r="T173" s="4">
        <v>11.8</v>
      </c>
      <c r="U173" s="4">
        <v>11.27</v>
      </c>
      <c r="V173" s="4">
        <v>11.29</v>
      </c>
      <c r="W173" s="4">
        <v>10.93</v>
      </c>
      <c r="X173" s="4">
        <v>10.24</v>
      </c>
      <c r="Y173" s="4">
        <v>10.5</v>
      </c>
      <c r="Z173" s="4">
        <v>10.35</v>
      </c>
      <c r="AA173" s="4">
        <v>10.96</v>
      </c>
      <c r="AB173" s="4">
        <v>11.34</v>
      </c>
      <c r="AC173" s="4">
        <v>10.32</v>
      </c>
      <c r="AD173" s="4">
        <v>10.71</v>
      </c>
      <c r="AE173" s="4">
        <v>10.8</v>
      </c>
      <c r="AF173" s="4">
        <v>10.72</v>
      </c>
      <c r="AG173" s="4">
        <v>10.78</v>
      </c>
      <c r="AH173" s="4">
        <v>10.71</v>
      </c>
      <c r="AI173" s="4">
        <v>10.75</v>
      </c>
      <c r="AJ173" s="4">
        <v>10.32</v>
      </c>
      <c r="AK173" s="4">
        <v>10.35</v>
      </c>
      <c r="AL173" s="4">
        <v>10.94</v>
      </c>
      <c r="AM173" s="4">
        <v>10.71</v>
      </c>
      <c r="AN173" s="4">
        <v>11.3</v>
      </c>
      <c r="AO173" s="4">
        <v>11.68</v>
      </c>
      <c r="AP173" s="4">
        <v>11.46</v>
      </c>
      <c r="AQ173" s="4">
        <v>11.67</v>
      </c>
      <c r="AR173" s="4">
        <v>10.61</v>
      </c>
      <c r="AS173" s="4">
        <v>10.89</v>
      </c>
      <c r="AT173" s="4">
        <v>10.93</v>
      </c>
      <c r="AU173" s="4">
        <v>11.154999999999999</v>
      </c>
      <c r="AV173" s="4">
        <v>10.55</v>
      </c>
      <c r="AW173" s="4">
        <v>10.77</v>
      </c>
      <c r="AX173" s="4">
        <v>10.83</v>
      </c>
      <c r="AY173" s="12">
        <v>10.53</v>
      </c>
      <c r="AZ173" s="12">
        <v>10.68</v>
      </c>
      <c r="BA173" s="12">
        <v>10.68</v>
      </c>
      <c r="BB173" s="15">
        <v>11.27</v>
      </c>
      <c r="BC173" s="52">
        <v>11.21</v>
      </c>
      <c r="BD173" s="52">
        <v>10.92</v>
      </c>
      <c r="BE173" s="52">
        <v>11</v>
      </c>
      <c r="BF173" s="52">
        <v>10.99</v>
      </c>
      <c r="BG173" s="67">
        <v>10.85</v>
      </c>
      <c r="BH173" s="52">
        <v>11.61</v>
      </c>
      <c r="BI173" s="52">
        <v>11.61</v>
      </c>
      <c r="BJ173" s="52">
        <v>11.73</v>
      </c>
      <c r="BK173" s="52">
        <v>11.59</v>
      </c>
      <c r="BL173" s="52">
        <v>11.3</v>
      </c>
      <c r="BM173" s="52">
        <v>11.91</v>
      </c>
      <c r="BN173" s="52">
        <v>12.15</v>
      </c>
      <c r="BO173" s="52" cm="1">
        <f t="array" aca="1" ref="BO173" ca="1">_FV(EC173,"Preço")</f>
        <v>12.15</v>
      </c>
      <c r="BP173" s="69" t="s">
        <v>169</v>
      </c>
      <c r="BQ173" s="36" cm="1">
        <f t="array" aca="1" ref="BQ173" ca="1">_FV(EC173,"Média de volume",TRUE)</f>
        <v>1442030</v>
      </c>
      <c r="BR173" s="36">
        <v>2196400</v>
      </c>
      <c r="BS173" s="36" cm="1">
        <f t="array" aca="1" ref="BS173" ca="1">_FV(EC173,"Volume")</f>
        <v>2196400</v>
      </c>
      <c r="BT173" s="24" cm="1">
        <f t="array" aca="1" ref="BT173" ca="1">_FV(EC173,"Beta")</f>
        <v>0.50900000000000001</v>
      </c>
      <c r="BU173" s="71" cm="1">
        <f t="array" aca="1" ref="BU173" ca="1">_FV(EC173,"Variação (%)",TRUE)</f>
        <v>1.1656999999999999E-2</v>
      </c>
      <c r="BW173" s="17" cm="1">
        <f t="array" aca="1" ref="BW173" ca="1">_FV(EC173,"Baixo")</f>
        <v>11.92</v>
      </c>
      <c r="BX173" s="17" cm="1">
        <f t="array" aca="1" ref="BX173" ca="1">_FV(EC173,"Alto")</f>
        <v>12.21</v>
      </c>
      <c r="BY173" s="24"/>
      <c r="BZ173" s="63">
        <f ca="1">SQRT(22.5*(BO173/VLOOKUP(BP173,Fundamentus!A:U,3,FALSE))*(BO173/VLOOKUP(BP173,Fundamentus!A:U,4,FALSE)))</f>
        <v>8.0119372253512111</v>
      </c>
      <c r="CB173" s="62">
        <f t="shared" ca="1" si="168"/>
        <v>0</v>
      </c>
      <c r="CC173" s="8"/>
      <c r="CD173" s="61">
        <f t="shared" si="169"/>
        <v>10.24</v>
      </c>
      <c r="CE173" s="61">
        <f t="shared" si="170"/>
        <v>12.3</v>
      </c>
      <c r="CF173" s="61">
        <f t="shared" si="171"/>
        <v>11.210378787878785</v>
      </c>
      <c r="CG173" s="14"/>
      <c r="CH173" s="35">
        <f t="shared" si="154"/>
        <v>11.735112184856852</v>
      </c>
      <c r="CI173" s="15">
        <f t="shared" si="172"/>
        <v>12.309999999999945</v>
      </c>
      <c r="CJ173" s="35">
        <f t="shared" si="155"/>
        <v>12.884887815143038</v>
      </c>
      <c r="CL173" s="14"/>
      <c r="CM173" s="17">
        <f t="shared" si="156"/>
        <v>8.7666666666666639</v>
      </c>
      <c r="CN173" s="17">
        <f t="shared" si="157"/>
        <v>9.5033333333333321</v>
      </c>
      <c r="CO173" s="17">
        <f t="shared" si="158"/>
        <v>10.826666666666664</v>
      </c>
      <c r="CP173" s="38">
        <f t="shared" si="173"/>
        <v>11.563333333333333</v>
      </c>
      <c r="CQ173" s="17">
        <f t="shared" si="159"/>
        <v>12.886666666666665</v>
      </c>
      <c r="CR173" s="17">
        <f t="shared" si="160"/>
        <v>13.623333333333333</v>
      </c>
      <c r="CS173" s="17">
        <f t="shared" si="161"/>
        <v>14.946666666666665</v>
      </c>
      <c r="CT173" s="2" cm="1">
        <f t="array" aca="1" ref="CT173" ca="1">MAX(_xlfn._xlws.FILTER(CM173:CS173,CM173:CS173&lt;BO173))</f>
        <v>11.563333333333333</v>
      </c>
      <c r="CU173" s="2" cm="1">
        <f t="array" aca="1" ref="CU173" ca="1">MIN(_xlfn._xlws.FILTER($CM173:$CS173,$CM173:$CS173&gt;BO173))</f>
        <v>12.886666666666665</v>
      </c>
      <c r="CV173" s="16">
        <f t="shared" ca="1" si="175"/>
        <v>0.11444220236379343</v>
      </c>
      <c r="CW173" s="20">
        <f t="shared" ca="1" si="176"/>
        <v>-5.7221101181896716E-2</v>
      </c>
      <c r="CX173" s="20">
        <f t="shared" ca="1" si="177"/>
        <v>-3.8147400787931142E-2</v>
      </c>
      <c r="CY173" s="20">
        <f t="shared" ca="1" si="178"/>
        <v>-2.2888440472758686E-2</v>
      </c>
      <c r="CZ173" s="20">
        <f t="shared" ca="1" si="179"/>
        <v>-1.2715800262643715E-2</v>
      </c>
      <c r="DA173" s="20">
        <f t="shared" ca="1" si="180"/>
        <v>-6.7318942566937309E-3</v>
      </c>
      <c r="DB173" s="20">
        <f t="shared" ca="1" si="181"/>
        <v>-3.4679455261755585E-3</v>
      </c>
      <c r="DC173" s="20">
        <f t="shared" ca="1" si="182"/>
        <v>-1.7606492671352835E-3</v>
      </c>
      <c r="DD173" s="21">
        <f t="shared" ca="1" si="183"/>
        <v>1.7606492671352835E-3</v>
      </c>
      <c r="DE173" s="21">
        <f t="shared" ca="1" si="184"/>
        <v>3.4679455261755585E-3</v>
      </c>
      <c r="DF173" s="21">
        <f t="shared" ca="1" si="185"/>
        <v>6.7318942566937309E-3</v>
      </c>
      <c r="DG173" s="21">
        <f t="shared" ca="1" si="186"/>
        <v>1.2715800262643715E-2</v>
      </c>
      <c r="DH173" s="21">
        <f t="shared" ca="1" si="187"/>
        <v>2.2888440472758686E-2</v>
      </c>
      <c r="DI173" s="21">
        <f t="shared" ca="1" si="188"/>
        <v>3.8147400787931142E-2</v>
      </c>
      <c r="DJ173" s="21">
        <f t="shared" ca="1" si="189"/>
        <v>5.7221101181896716E-2</v>
      </c>
      <c r="DL173" s="16" cm="1">
        <f t="array" aca="1" ref="DL173" ca="1">MAX(_xlfn._xlws.FILTER(CW173:DJ173,CW173:DJ173&lt;BU173))</f>
        <v>6.7318942566937309E-3</v>
      </c>
      <c r="DM173" s="16" cm="1">
        <f t="array" aca="1" ref="DM173" ca="1">MIN(_xlfn._xlws.FILTER(CW173:DJ173,CW173:DJ173&gt;BU173))</f>
        <v>1.2715800262643715E-2</v>
      </c>
      <c r="DN173" s="2" cm="1">
        <f t="array" aca="1" ref="DN173" ca="1">_FV(EC173,"Fechamento anterior",TRUE)</f>
        <v>12.01</v>
      </c>
      <c r="DO173" s="28">
        <f t="shared" ca="1" si="162"/>
        <v>0.82305074276893486</v>
      </c>
      <c r="DP173" s="15">
        <f t="shared" ca="1" si="190"/>
        <v>12.090850050022892</v>
      </c>
      <c r="DQ173" s="15">
        <f t="shared" ca="1" si="191"/>
        <v>12.162716761154352</v>
      </c>
      <c r="DR173" s="9"/>
      <c r="DS173" s="9"/>
      <c r="DT173" s="9"/>
      <c r="DU173" s="89">
        <v>1.5366430260047286E-2</v>
      </c>
      <c r="DV173" s="89">
        <f t="shared" ca="1" si="163"/>
        <v>5.9839060059499842E-3</v>
      </c>
      <c r="DW173" s="72">
        <f t="shared" ca="1" si="164"/>
        <v>-0.27831516999559319</v>
      </c>
      <c r="DX173" s="37"/>
      <c r="DY173" s="35">
        <f t="shared" si="174"/>
        <v>0.28744390757154681</v>
      </c>
      <c r="DZ173" s="56"/>
      <c r="EA173" s="56"/>
      <c r="EC173" s="2" t="e" vm="175">
        <v>#VALUE!</v>
      </c>
      <c r="EE173" s="10" cm="1">
        <f t="array" aca="1" ref="EE173" ca="1">_FV(EC173,"Ações em circulação",TRUE)</f>
        <v>552495700</v>
      </c>
      <c r="EF173" s="18">
        <f>VLOOKUP(BP173,Fundamentus!A:U,5,FALSE)</f>
        <v>2.7210000000000001</v>
      </c>
      <c r="EG173" s="2">
        <f t="shared" ca="1" si="165"/>
        <v>2467042541.3450937</v>
      </c>
      <c r="EH173" s="17">
        <v>598997929.03858876</v>
      </c>
      <c r="EI173" s="17">
        <f t="shared" ca="1" si="166"/>
        <v>598997929.03858876</v>
      </c>
      <c r="EK173" s="16">
        <f t="shared" ca="1" si="153"/>
        <v>0</v>
      </c>
      <c r="EL173" s="32" t="str">
        <f>IF(VLOOKUP(BP173,Fundamentus!A:U,3,FALSE)&lt;15,"Bom",IF(VLOOKUP(BP173,Fundamentus!A:U,3,FALSE)&gt;15,"Ruim","n/a"))</f>
        <v>Bom</v>
      </c>
      <c r="EM173" s="28" t="str">
        <f>IF(VLOOKUP(BP173,Fundamentus!A:U,4,FALSE)&lt;1,"Baixo",IF(VLOOKUP(BP173,Fundamentus!A:U,4,FALSE)&lt;1.5,"Moderado",IF(VLOOKUP(BP173,Fundamentus!A:U,4,FALSE)&gt;1.5,"Alto","n/a")))</f>
        <v>Alto</v>
      </c>
      <c r="EN173" s="17" t="str">
        <f>IF(VLOOKUP(BP173,Fundamentus!A:U,8,FALSE)&lt;0,"Risco elevado",IF(VLOOKUP(BP173,Fundamentus!A:U,8,FALSE)&lt;1,"Saudável",IF(VLOOKUP(BP173,Fundamentus!A:U,8,FALSE)&lt;3,"Estável",IF(VLOOKUP(BP173,Fundamentus!A:U,8,FALSE)&gt;3,"Alerta","n/a"))))</f>
        <v>Risco elevado</v>
      </c>
      <c r="EO173" s="28" t="str">
        <f t="shared" si="167"/>
        <v>Bom</v>
      </c>
      <c r="EP173" s="17" t="str">
        <f>IF(VLOOKUP(BP173,Fundamentus!A:U,12,FALSE)&lt;2,"Subvalorizada",IF(VLOOKUP(BP173,Fundamentus!A:U,12,FALSE)&lt;6,"Muita barata",IF(VLOOKUP(BP173,Fundamentus!A:U,12,FALSE)&lt;6,"Barata",IF(VLOOKUP(BP173,Fundamentus!A:U,12,FALSE)&lt;8,"Atrativa",IF(VLOOKUP(BP173,Fundamentus!A:U,12,FALSE)&gt;8,"Supervalorizada","n/a")))))</f>
        <v>Atrativa</v>
      </c>
      <c r="ER173" s="17" t="str">
        <f>IF(VLOOKUP(BP173,Fundamentus!A:U,17,FALSE)&lt;0.1,"Fraco retorno",IF(VLOOKUP(BP173,Fundamentus!A:U,17,FALSE)&gt;0.1,"Bom retorno","n/a"))</f>
        <v>Bom retorno</v>
      </c>
      <c r="ES173" s="17" t="str">
        <f>IF(VLOOKUP(BP173,Fundamentus!A:U,16,FALSE)&lt;0.1,"Ineficiente",IF(VLOOKUP(BP173,Fundamentus!A:U,16,FALSE)&gt;0.1,"Eficiente","n/a"))</f>
        <v>Eficiente</v>
      </c>
      <c r="ET173" s="33" t="str">
        <f>IF(VLOOKUP(BP173,Fundamentus!A:U,16,FALSE)&lt;0.1,"Oper. Ineficiente",IF(VLOOKUP(BP173,Fundamentus!A:U,16,FALSE)&gt;0.1,"Oper.Eficiente","n/a"))</f>
        <v>Oper.Eficiente</v>
      </c>
      <c r="EU173" s="34">
        <f>VLOOKUP(BP173,Fundamentus!A:U,14,FALSE)</f>
        <v>0.24279999999999999</v>
      </c>
      <c r="EV173" s="17" t="str">
        <f>IF(VLOOKUP(BP173,Fundamentus!A:U,21,FALSE)&lt;0,"Negativo",IF(VLOOKUP(BP173,Fundamentus!A:U,21,FALSE)&lt;0.05,"Fraco",IF(VLOOKUP(BP173,Fundamentus!A:U,21,FALSE)&lt;0.1,"Bom",IF(VLOOKUP(BP173,Fundamentus!A:U,21,FALSE)&gt;0.1,"Muito bom","n/a"))))</f>
        <v>Bom</v>
      </c>
      <c r="EX173" s="29" t="str">
        <f>IF(VLOOKUP(BP173,Fundamentus!A:U,15,FALSE)&gt;1,"Bom",IF(VLOOKUP(BP173,Fundamentus!A:U,15,FALSE)&lt;1,"Ruim","n/a"))</f>
        <v>Ruim</v>
      </c>
      <c r="EY173" s="17" t="str">
        <f>IF(VLOOKUP(BP173,Fundamentus!A:U,20,FALSE)&lt;0.5,"Baixa",IF(VLOOKUP(BP173,Fundamentus!A:U,20,FALSE)&lt;1,"Moderada",IF(VLOOKUP(BP173,Fundamentus!A:U,20,FALSE)&lt;2,"Alerta",IF(VLOOKUP(BP173,Fundamentus!A:U,20,FALSE)&gt;2,"Alta","n/a"))))</f>
        <v>Baixa</v>
      </c>
      <c r="EZ173" s="10"/>
    </row>
    <row r="174" spans="1:156" s="2" customFormat="1" ht="11.25" x14ac:dyDescent="0.2">
      <c r="A174" s="4">
        <v>21.55</v>
      </c>
      <c r="B174" s="4">
        <v>21.35</v>
      </c>
      <c r="C174" s="4">
        <v>20.93</v>
      </c>
      <c r="D174" s="4">
        <v>19.75</v>
      </c>
      <c r="E174" s="4">
        <v>20.75</v>
      </c>
      <c r="F174" s="4">
        <v>19.059999999999999</v>
      </c>
      <c r="G174" s="4">
        <v>18.07</v>
      </c>
      <c r="H174" s="4">
        <v>18.25</v>
      </c>
      <c r="I174" s="4">
        <v>18.559999999999999</v>
      </c>
      <c r="J174" s="4">
        <v>20.84</v>
      </c>
      <c r="K174" s="4">
        <v>21</v>
      </c>
      <c r="L174" s="4">
        <v>21</v>
      </c>
      <c r="M174" s="4">
        <v>21.04</v>
      </c>
      <c r="N174" s="4">
        <v>19.87</v>
      </c>
      <c r="O174" s="4">
        <v>21.31</v>
      </c>
      <c r="P174" s="4">
        <v>21.64</v>
      </c>
      <c r="Q174" s="4">
        <v>21.51</v>
      </c>
      <c r="R174" s="4">
        <v>20.399999999999999</v>
      </c>
      <c r="S174" s="4">
        <v>19.28</v>
      </c>
      <c r="T174" s="4">
        <v>19.04</v>
      </c>
      <c r="U174" s="4">
        <v>18.34</v>
      </c>
      <c r="V174" s="4">
        <v>17.850000000000001</v>
      </c>
      <c r="W174" s="4">
        <v>18.37</v>
      </c>
      <c r="X174" s="4">
        <v>18.190000000000001</v>
      </c>
      <c r="Y174" s="4">
        <v>17.02</v>
      </c>
      <c r="Z174" s="4">
        <v>16.96</v>
      </c>
      <c r="AA174" s="4">
        <v>16.5</v>
      </c>
      <c r="AB174" s="4">
        <v>17.73</v>
      </c>
      <c r="AC174" s="4">
        <v>16.66</v>
      </c>
      <c r="AD174" s="4">
        <v>16.91</v>
      </c>
      <c r="AE174" s="4">
        <v>16.54</v>
      </c>
      <c r="AF174" s="4">
        <v>15.88</v>
      </c>
      <c r="AG174" s="4">
        <v>16.059999999999999</v>
      </c>
      <c r="AH174" s="4">
        <v>15.27</v>
      </c>
      <c r="AI174" s="4">
        <v>15.78</v>
      </c>
      <c r="AJ174" s="4">
        <v>16.43</v>
      </c>
      <c r="AK174" s="4">
        <v>16.36</v>
      </c>
      <c r="AL174" s="4">
        <v>16.690000000000001</v>
      </c>
      <c r="AM174" s="4">
        <v>15.68</v>
      </c>
      <c r="AN174" s="4">
        <v>15.87</v>
      </c>
      <c r="AO174" s="4">
        <v>15.38</v>
      </c>
      <c r="AP174" s="4">
        <v>15.58</v>
      </c>
      <c r="AQ174" s="4">
        <v>16.14</v>
      </c>
      <c r="AR174" s="4">
        <v>15.89</v>
      </c>
      <c r="AS174" s="4">
        <v>15.84</v>
      </c>
      <c r="AT174" s="4">
        <v>16.350000000000001</v>
      </c>
      <c r="AU174" s="4">
        <v>16.324999999999999</v>
      </c>
      <c r="AV174" s="4">
        <v>16.760000000000002</v>
      </c>
      <c r="AW174" s="4">
        <v>14.35</v>
      </c>
      <c r="AX174" s="4">
        <v>13.52</v>
      </c>
      <c r="AY174" s="12">
        <v>14.04</v>
      </c>
      <c r="AZ174" s="12">
        <v>13.56</v>
      </c>
      <c r="BA174" s="12">
        <v>12.84</v>
      </c>
      <c r="BB174" s="15">
        <v>13.47</v>
      </c>
      <c r="BC174" s="52">
        <v>15.08</v>
      </c>
      <c r="BD174" s="52">
        <v>13.97</v>
      </c>
      <c r="BE174" s="52">
        <v>14.47</v>
      </c>
      <c r="BF174" s="52">
        <v>14.5</v>
      </c>
      <c r="BG174" s="67">
        <v>15.56</v>
      </c>
      <c r="BH174" s="52">
        <v>15.79</v>
      </c>
      <c r="BI174" s="52">
        <v>14.33</v>
      </c>
      <c r="BJ174" s="52">
        <v>14.69</v>
      </c>
      <c r="BK174" s="52">
        <v>14.47</v>
      </c>
      <c r="BL174" s="52">
        <v>13.74</v>
      </c>
      <c r="BM174" s="52">
        <v>13.35</v>
      </c>
      <c r="BN174" s="52">
        <v>13.34</v>
      </c>
      <c r="BO174" s="52" cm="1">
        <f t="array" aca="1" ref="BO174" ca="1">_FV(EC174,"Preço")</f>
        <v>13.34</v>
      </c>
      <c r="BP174" s="69" t="s">
        <v>170</v>
      </c>
      <c r="BQ174" s="36" cm="1">
        <f t="array" aca="1" ref="BQ174" ca="1">_FV(EC174,"Média de volume",TRUE)</f>
        <v>1942910</v>
      </c>
      <c r="BR174" s="36">
        <v>2203900</v>
      </c>
      <c r="BS174" s="36" cm="1">
        <f t="array" aca="1" ref="BS174" ca="1">_FV(EC174,"Volume")</f>
        <v>2203900</v>
      </c>
      <c r="BT174" s="24" cm="1">
        <f t="array" aca="1" ref="BT174" ca="1">_FV(EC174,"Beta")</f>
        <v>0.84899999999999998</v>
      </c>
      <c r="BU174" s="71" cm="1">
        <f t="array" aca="1" ref="BU174" ca="1">_FV(EC174,"Variação (%)",TRUE)</f>
        <v>-5.9609999999999993E-3</v>
      </c>
      <c r="BW174" s="17" cm="1">
        <f t="array" aca="1" ref="BW174" ca="1">_FV(EC174,"Baixo")</f>
        <v>13.27</v>
      </c>
      <c r="BX174" s="17" cm="1">
        <f t="array" aca="1" ref="BX174" ca="1">_FV(EC174,"Alto")</f>
        <v>13.64</v>
      </c>
      <c r="BY174" s="24"/>
      <c r="BZ174" s="63">
        <f ca="1">SQRT(22.5*(BO174/VLOOKUP(BP174,Fundamentus!A:U,3,FALSE))*(BO174/VLOOKUP(BP174,Fundamentus!A:U,4,FALSE)))</f>
        <v>25.049121972407491</v>
      </c>
      <c r="CB174" s="62">
        <f t="shared" ca="1" si="168"/>
        <v>0</v>
      </c>
      <c r="CC174" s="8"/>
      <c r="CD174" s="61">
        <f t="shared" si="169"/>
        <v>12.84</v>
      </c>
      <c r="CE174" s="61">
        <f t="shared" si="170"/>
        <v>21.64</v>
      </c>
      <c r="CF174" s="61">
        <f t="shared" si="171"/>
        <v>17.024621212121207</v>
      </c>
      <c r="CG174" s="14"/>
      <c r="CH174" s="35">
        <f t="shared" si="154"/>
        <v>11.652496563197888</v>
      </c>
      <c r="CI174" s="15">
        <f t="shared" si="172"/>
        <v>12.779999999999745</v>
      </c>
      <c r="CJ174" s="35">
        <f t="shared" si="155"/>
        <v>13.907503436801603</v>
      </c>
      <c r="CL174" s="14"/>
      <c r="CM174" s="17">
        <f t="shared" si="156"/>
        <v>1.4400000000000048</v>
      </c>
      <c r="CN174" s="17">
        <f t="shared" si="157"/>
        <v>7.1400000000000023</v>
      </c>
      <c r="CO174" s="17">
        <f t="shared" si="158"/>
        <v>10.240000000000006</v>
      </c>
      <c r="CP174" s="38">
        <f t="shared" si="173"/>
        <v>15.940000000000003</v>
      </c>
      <c r="CQ174" s="17">
        <f t="shared" si="159"/>
        <v>19.040000000000006</v>
      </c>
      <c r="CR174" s="17">
        <f t="shared" si="160"/>
        <v>24.740000000000002</v>
      </c>
      <c r="CS174" s="17">
        <f t="shared" si="161"/>
        <v>27.840000000000007</v>
      </c>
      <c r="CT174" s="2" cm="1">
        <f t="array" aca="1" ref="CT174" ca="1">MAX(_xlfn._xlws.FILTER(CM174:CS174,CM174:CS174&lt;BO174))</f>
        <v>10.240000000000006</v>
      </c>
      <c r="CU174" s="2" cm="1">
        <f t="array" aca="1" ref="CU174" ca="1">MIN(_xlfn._xlws.FILTER($CM174:$CS174,$CM174:$CS174&gt;BO174))</f>
        <v>15.940000000000003</v>
      </c>
      <c r="CV174" s="16">
        <f t="shared" ca="1" si="175"/>
        <v>0.55664062499999956</v>
      </c>
      <c r="CW174" s="20">
        <f t="shared" ca="1" si="176"/>
        <v>-0.27832031249999978</v>
      </c>
      <c r="CX174" s="20">
        <f t="shared" ca="1" si="177"/>
        <v>-0.18554687499999986</v>
      </c>
      <c r="CY174" s="20">
        <f t="shared" ca="1" si="178"/>
        <v>-0.11132812499999992</v>
      </c>
      <c r="CZ174" s="20">
        <f t="shared" ca="1" si="179"/>
        <v>-6.1848958333333287E-2</v>
      </c>
      <c r="DA174" s="20">
        <f t="shared" ca="1" si="180"/>
        <v>-3.2743566176470562E-2</v>
      </c>
      <c r="DB174" s="20">
        <f t="shared" ca="1" si="181"/>
        <v>-1.6867897727272714E-2</v>
      </c>
      <c r="DC174" s="20">
        <f t="shared" ca="1" si="182"/>
        <v>-8.5637019230769169E-3</v>
      </c>
      <c r="DD174" s="21">
        <f t="shared" ca="1" si="183"/>
        <v>8.5637019230769169E-3</v>
      </c>
      <c r="DE174" s="21">
        <f t="shared" ca="1" si="184"/>
        <v>1.6867897727272714E-2</v>
      </c>
      <c r="DF174" s="21">
        <f t="shared" ca="1" si="185"/>
        <v>3.2743566176470562E-2</v>
      </c>
      <c r="DG174" s="21">
        <f t="shared" ca="1" si="186"/>
        <v>6.1848958333333287E-2</v>
      </c>
      <c r="DH174" s="21">
        <f t="shared" ca="1" si="187"/>
        <v>0.11132812499999992</v>
      </c>
      <c r="DI174" s="21">
        <f t="shared" ca="1" si="188"/>
        <v>0.18554687499999986</v>
      </c>
      <c r="DJ174" s="21">
        <f t="shared" ca="1" si="189"/>
        <v>0.27832031249999978</v>
      </c>
      <c r="DL174" s="16" cm="1">
        <f t="array" aca="1" ref="DL174" ca="1">MAX(_xlfn._xlws.FILTER(CW174:DJ174,CW174:DJ174&lt;BU174))</f>
        <v>-8.5637019230769169E-3</v>
      </c>
      <c r="DM174" s="16" cm="1">
        <f t="array" aca="1" ref="DM174" ca="1">MIN(_xlfn._xlws.FILTER(CW174:DJ174,CW174:DJ174&gt;BU174))</f>
        <v>8.5637019230769169E-3</v>
      </c>
      <c r="DN174" s="2" cm="1">
        <f t="array" aca="1" ref="DN174" ca="1">_FV(EC174,"Fechamento anterior",TRUE)</f>
        <v>13.42</v>
      </c>
      <c r="DO174" s="28">
        <f t="shared" ca="1" si="162"/>
        <v>0.15194655789996428</v>
      </c>
      <c r="DP174" s="15">
        <f t="shared" ca="1" si="190"/>
        <v>13.305075120192308</v>
      </c>
      <c r="DQ174" s="15">
        <f t="shared" ca="1" si="191"/>
        <v>13.534924879807692</v>
      </c>
      <c r="DR174" s="9"/>
      <c r="DS174" s="9"/>
      <c r="DT174" s="9"/>
      <c r="DU174" s="89">
        <v>1.6302225693088632E-2</v>
      </c>
      <c r="DV174" s="89">
        <f t="shared" ca="1" si="163"/>
        <v>1.7127403846153834E-2</v>
      </c>
      <c r="DW174" s="72">
        <f t="shared" ca="1" si="164"/>
        <v>0.49667254371187014</v>
      </c>
      <c r="DX174" s="37"/>
      <c r="DY174" s="35">
        <f t="shared" si="174"/>
        <v>0.56375171840092875</v>
      </c>
      <c r="DZ174" s="56"/>
      <c r="EA174" s="56"/>
      <c r="EC174" s="2" t="e" vm="176">
        <v>#VALUE!</v>
      </c>
      <c r="EE174" s="10" cm="1">
        <f t="array" aca="1" ref="EE174" ca="1">_FV(EC174,"Ações em circulação",TRUE)</f>
        <v>293472100</v>
      </c>
      <c r="EF174" s="18">
        <f>VLOOKUP(BP174,Fundamentus!A:U,5,FALSE)</f>
        <v>1.1759999999999999</v>
      </c>
      <c r="EG174" s="2">
        <f t="shared" ca="1" si="165"/>
        <v>3329011746.5986395</v>
      </c>
      <c r="EH174" s="17">
        <v>546623728.79149663</v>
      </c>
      <c r="EI174" s="17">
        <f t="shared" ca="1" si="166"/>
        <v>546623728.79149663</v>
      </c>
      <c r="EK174" s="16">
        <f t="shared" ca="1" si="153"/>
        <v>0</v>
      </c>
      <c r="EL174" s="32" t="str">
        <f>IF(VLOOKUP(BP174,Fundamentus!A:U,3,FALSE)&lt;15,"Bom",IF(VLOOKUP(BP174,Fundamentus!A:U,3,FALSE)&gt;15,"Ruim","n/a"))</f>
        <v>Bom</v>
      </c>
      <c r="EM174" s="28" t="str">
        <f>IF(VLOOKUP(BP174,Fundamentus!A:U,4,FALSE)&lt;1,"Baixo",IF(VLOOKUP(BP174,Fundamentus!A:U,4,FALSE)&lt;1.5,"Moderado",IF(VLOOKUP(BP174,Fundamentus!A:U,4,FALSE)&gt;1.5,"Alto","n/a")))</f>
        <v>Baixo</v>
      </c>
      <c r="EN174" s="17" t="str">
        <f>IF(VLOOKUP(BP174,Fundamentus!A:U,8,FALSE)&lt;0,"Risco elevado",IF(VLOOKUP(BP174,Fundamentus!A:U,8,FALSE)&lt;1,"Saudável",IF(VLOOKUP(BP174,Fundamentus!A:U,8,FALSE)&lt;3,"Estável",IF(VLOOKUP(BP174,Fundamentus!A:U,8,FALSE)&gt;3,"Alerta","n/a"))))</f>
        <v>Alerta</v>
      </c>
      <c r="EO174" s="28" t="str">
        <f t="shared" si="167"/>
        <v>Bom</v>
      </c>
      <c r="EP174" s="17" t="str">
        <f>IF(VLOOKUP(BP174,Fundamentus!A:U,12,FALSE)&lt;2,"Subvalorizada",IF(VLOOKUP(BP174,Fundamentus!A:U,12,FALSE)&lt;6,"Muita barata",IF(VLOOKUP(BP174,Fundamentus!A:U,12,FALSE)&lt;6,"Barata",IF(VLOOKUP(BP174,Fundamentus!A:U,12,FALSE)&lt;8,"Atrativa",IF(VLOOKUP(BP174,Fundamentus!A:U,12,FALSE)&gt;8,"Supervalorizada","n/a")))))</f>
        <v>Muita barata</v>
      </c>
      <c r="ER174" s="17" t="str">
        <f>IF(VLOOKUP(BP174,Fundamentus!A:U,17,FALSE)&lt;0.1,"Fraco retorno",IF(VLOOKUP(BP174,Fundamentus!A:U,17,FALSE)&gt;0.1,"Bom retorno","n/a"))</f>
        <v>Bom retorno</v>
      </c>
      <c r="ES174" s="17" t="str">
        <f>IF(VLOOKUP(BP174,Fundamentus!A:U,16,FALSE)&lt;0.1,"Ineficiente",IF(VLOOKUP(BP174,Fundamentus!A:U,16,FALSE)&gt;0.1,"Eficiente","n/a"))</f>
        <v>Eficiente</v>
      </c>
      <c r="ET174" s="33" t="str">
        <f>IF(VLOOKUP(BP174,Fundamentus!A:U,16,FALSE)&lt;0.1,"Oper. Ineficiente",IF(VLOOKUP(BP174,Fundamentus!A:U,16,FALSE)&gt;0.1,"Oper.Eficiente","n/a"))</f>
        <v>Oper.Eficiente</v>
      </c>
      <c r="EU174" s="34">
        <f>VLOOKUP(BP174,Fundamentus!A:U,14,FALSE)</f>
        <v>0.16420000000000001</v>
      </c>
      <c r="EV174" s="17" t="str">
        <f>IF(VLOOKUP(BP174,Fundamentus!A:U,21,FALSE)&lt;0,"Negativo",IF(VLOOKUP(BP174,Fundamentus!A:U,21,FALSE)&lt;0.05,"Fraco",IF(VLOOKUP(BP174,Fundamentus!A:U,21,FALSE)&lt;0.1,"Bom",IF(VLOOKUP(BP174,Fundamentus!A:U,21,FALSE)&gt;0.1,"Muito bom","n/a"))))</f>
        <v>Muito bom</v>
      </c>
      <c r="EX174" s="29" t="str">
        <f>IF(VLOOKUP(BP174,Fundamentus!A:U,15,FALSE)&gt;1,"Bom",IF(VLOOKUP(BP174,Fundamentus!A:U,15,FALSE)&lt;1,"Ruim","n/a"))</f>
        <v>Bom</v>
      </c>
      <c r="EY174" s="17" t="str">
        <f>IF(VLOOKUP(BP174,Fundamentus!A:U,20,FALSE)&lt;0.5,"Baixa",IF(VLOOKUP(BP174,Fundamentus!A:U,20,FALSE)&lt;1,"Moderada",IF(VLOOKUP(BP174,Fundamentus!A:U,20,FALSE)&lt;2,"Alerta",IF(VLOOKUP(BP174,Fundamentus!A:U,20,FALSE)&gt;2,"Alta","n/a"))))</f>
        <v>Baixa</v>
      </c>
      <c r="EZ174" s="10"/>
    </row>
    <row r="175" spans="1:156" s="2" customFormat="1" ht="11.25" x14ac:dyDescent="0.2">
      <c r="A175" s="4">
        <v>13.03</v>
      </c>
      <c r="B175" s="4">
        <v>12.34</v>
      </c>
      <c r="C175" s="4">
        <v>12.26</v>
      </c>
      <c r="D175" s="4">
        <v>11.73</v>
      </c>
      <c r="E175" s="4">
        <v>11.03</v>
      </c>
      <c r="F175" s="4">
        <v>11</v>
      </c>
      <c r="G175" s="4">
        <v>10.38</v>
      </c>
      <c r="H175" s="4">
        <v>10.65</v>
      </c>
      <c r="I175" s="4">
        <v>11.08</v>
      </c>
      <c r="J175" s="4">
        <v>13.08</v>
      </c>
      <c r="K175" s="4">
        <v>13.61</v>
      </c>
      <c r="L175" s="4">
        <v>13.11</v>
      </c>
      <c r="M175" s="4">
        <v>13.81</v>
      </c>
      <c r="N175" s="4">
        <v>13.93</v>
      </c>
      <c r="O175" s="4">
        <v>14.93</v>
      </c>
      <c r="P175" s="4">
        <v>14.51</v>
      </c>
      <c r="Q175" s="4">
        <v>14.84</v>
      </c>
      <c r="R175" s="4">
        <v>14.25</v>
      </c>
      <c r="S175" s="4">
        <v>15.08</v>
      </c>
      <c r="T175" s="4">
        <v>14.81</v>
      </c>
      <c r="U175" s="4">
        <v>14.35</v>
      </c>
      <c r="V175" s="4">
        <v>14.2</v>
      </c>
      <c r="W175" s="4">
        <v>15.78</v>
      </c>
      <c r="X175" s="4">
        <v>15.37</v>
      </c>
      <c r="Y175" s="4">
        <v>14.93</v>
      </c>
      <c r="Z175" s="4">
        <v>15.5</v>
      </c>
      <c r="AA175" s="4">
        <v>15.33</v>
      </c>
      <c r="AB175" s="4">
        <v>16.25</v>
      </c>
      <c r="AC175" s="4">
        <v>14.66</v>
      </c>
      <c r="AD175" s="4">
        <v>14.7</v>
      </c>
      <c r="AE175" s="4">
        <v>12.31</v>
      </c>
      <c r="AF175" s="4">
        <v>12.26</v>
      </c>
      <c r="AG175" s="4">
        <v>11.53</v>
      </c>
      <c r="AH175" s="4">
        <v>10.94</v>
      </c>
      <c r="AI175" s="4">
        <v>10.87</v>
      </c>
      <c r="AJ175" s="4">
        <v>10.53</v>
      </c>
      <c r="AK175" s="4">
        <v>10.220000000000001</v>
      </c>
      <c r="AL175" s="4">
        <v>10.8</v>
      </c>
      <c r="AM175" s="4">
        <v>11.38</v>
      </c>
      <c r="AN175" s="4">
        <v>12.64</v>
      </c>
      <c r="AO175" s="4">
        <v>12.11</v>
      </c>
      <c r="AP175" s="4">
        <v>12.7</v>
      </c>
      <c r="AQ175" s="4">
        <v>12.54</v>
      </c>
      <c r="AR175" s="4">
        <v>12.15</v>
      </c>
      <c r="AS175" s="4">
        <v>12.8</v>
      </c>
      <c r="AT175" s="4">
        <v>13.14</v>
      </c>
      <c r="AU175" s="4">
        <v>13.904999999999999</v>
      </c>
      <c r="AV175" s="4">
        <v>14.53</v>
      </c>
      <c r="AW175" s="4">
        <v>15.32</v>
      </c>
      <c r="AX175" s="4">
        <v>15.47</v>
      </c>
      <c r="AY175" s="12">
        <v>15.04</v>
      </c>
      <c r="AZ175" s="12">
        <v>16.399999999999999</v>
      </c>
      <c r="BA175" s="12">
        <v>16.46</v>
      </c>
      <c r="BB175" s="15">
        <v>16.47</v>
      </c>
      <c r="BC175" s="52">
        <v>19.46</v>
      </c>
      <c r="BD175" s="52">
        <v>18.5</v>
      </c>
      <c r="BE175" s="52">
        <v>20.66</v>
      </c>
      <c r="BF175" s="52">
        <v>23</v>
      </c>
      <c r="BG175" s="67">
        <v>22.7</v>
      </c>
      <c r="BH175" s="52">
        <v>21.28</v>
      </c>
      <c r="BI175" s="52">
        <v>21.89</v>
      </c>
      <c r="BJ175" s="52">
        <v>24.2</v>
      </c>
      <c r="BK175" s="52">
        <v>23.22</v>
      </c>
      <c r="BL175" s="52">
        <v>21.12</v>
      </c>
      <c r="BM175" s="52">
        <v>21.8</v>
      </c>
      <c r="BN175" s="52">
        <v>22.4</v>
      </c>
      <c r="BO175" s="52" cm="1">
        <f t="array" aca="1" ref="BO175" ca="1">_FV(EC175,"Preço")</f>
        <v>22.4</v>
      </c>
      <c r="BP175" s="69" t="s">
        <v>171</v>
      </c>
      <c r="BQ175" s="36" cm="1">
        <f t="array" aca="1" ref="BQ175" ca="1">_FV(EC175,"Média de volume",TRUE)</f>
        <v>601210</v>
      </c>
      <c r="BR175" s="36">
        <v>507600</v>
      </c>
      <c r="BS175" s="36" cm="1">
        <f t="array" aca="1" ref="BS175" ca="1">_FV(EC175,"Volume")</f>
        <v>507600</v>
      </c>
      <c r="BT175" s="24" cm="1">
        <f t="array" aca="1" ref="BT175" ca="1">_FV(EC175,"Beta")</f>
        <v>1.641</v>
      </c>
      <c r="BU175" s="71" cm="1">
        <f t="array" aca="1" ref="BU175" ca="1">_FV(EC175,"Variação (%)",TRUE)</f>
        <v>-9.2879999999999994E-3</v>
      </c>
      <c r="BW175" s="17" cm="1">
        <f t="array" aca="1" ref="BW175" ca="1">_FV(EC175,"Baixo")</f>
        <v>22.2</v>
      </c>
      <c r="BX175" s="17" cm="1">
        <f t="array" aca="1" ref="BX175" ca="1">_FV(EC175,"Alto")</f>
        <v>22.97</v>
      </c>
      <c r="BY175" s="24"/>
      <c r="BZ175" s="63">
        <f ca="1">SQRT(22.5*(BO175/VLOOKUP(BP175,Fundamentus!A:U,3,FALSE))*(BO175/VLOOKUP(BP175,Fundamentus!A:U,4,FALSE)))</f>
        <v>39.410134555734238</v>
      </c>
      <c r="CB175" s="62">
        <f t="shared" ca="1" si="168"/>
        <v>0</v>
      </c>
      <c r="CC175" s="8"/>
      <c r="CD175" s="61">
        <f t="shared" si="169"/>
        <v>10.220000000000001</v>
      </c>
      <c r="CE175" s="61">
        <f t="shared" si="170"/>
        <v>24.2</v>
      </c>
      <c r="CF175" s="61">
        <f t="shared" si="171"/>
        <v>14.898106060606061</v>
      </c>
      <c r="CG175" s="14"/>
      <c r="CH175" s="35">
        <f t="shared" si="154"/>
        <v>19.535696400225874</v>
      </c>
      <c r="CI175" s="15">
        <f t="shared" si="172"/>
        <v>21.690000000000055</v>
      </c>
      <c r="CJ175" s="35">
        <f t="shared" si="155"/>
        <v>23.844303599774236</v>
      </c>
      <c r="CL175" s="14"/>
      <c r="CM175" s="17">
        <f t="shared" si="156"/>
        <v>-0.29999999999999538</v>
      </c>
      <c r="CN175" s="17">
        <f t="shared" si="157"/>
        <v>4.9600000000000026</v>
      </c>
      <c r="CO175" s="17">
        <f t="shared" si="158"/>
        <v>13.680000000000003</v>
      </c>
      <c r="CP175" s="38">
        <f t="shared" si="173"/>
        <v>18.940000000000001</v>
      </c>
      <c r="CQ175" s="17">
        <f t="shared" si="159"/>
        <v>27.660000000000004</v>
      </c>
      <c r="CR175" s="17">
        <f t="shared" si="160"/>
        <v>32.92</v>
      </c>
      <c r="CS175" s="17">
        <f t="shared" si="161"/>
        <v>41.64</v>
      </c>
      <c r="CT175" s="2" cm="1">
        <f t="array" aca="1" ref="CT175" ca="1">MAX(_xlfn._xlws.FILTER(CM175:CS175,CM175:CS175&lt;BO175))</f>
        <v>18.940000000000001</v>
      </c>
      <c r="CU175" s="2" cm="1">
        <f t="array" aca="1" ref="CU175" ca="1">MIN(_xlfn._xlws.FILTER($CM175:$CS175,$CM175:$CS175&gt;BO175))</f>
        <v>27.660000000000004</v>
      </c>
      <c r="CV175" s="16">
        <f t="shared" ca="1" si="175"/>
        <v>0.46040126715945107</v>
      </c>
      <c r="CW175" s="20">
        <f t="shared" ca="1" si="176"/>
        <v>-0.23020063357972553</v>
      </c>
      <c r="CX175" s="20">
        <f t="shared" ca="1" si="177"/>
        <v>-0.15346708905315035</v>
      </c>
      <c r="CY175" s="20">
        <f t="shared" ca="1" si="178"/>
        <v>-9.2080253431890219E-2</v>
      </c>
      <c r="CZ175" s="20">
        <f t="shared" ca="1" si="179"/>
        <v>-5.115569635105012E-2</v>
      </c>
      <c r="DA175" s="20">
        <f t="shared" ca="1" si="180"/>
        <v>-2.7082427479967711E-2</v>
      </c>
      <c r="DB175" s="20">
        <f t="shared" ca="1" si="181"/>
        <v>-1.3951553550286397E-2</v>
      </c>
      <c r="DC175" s="20">
        <f t="shared" ca="1" si="182"/>
        <v>-7.0830964178377085E-3</v>
      </c>
      <c r="DD175" s="21">
        <f t="shared" ca="1" si="183"/>
        <v>7.0830964178377085E-3</v>
      </c>
      <c r="DE175" s="21">
        <f t="shared" ca="1" si="184"/>
        <v>1.3951553550286397E-2</v>
      </c>
      <c r="DF175" s="21">
        <f t="shared" ca="1" si="185"/>
        <v>2.7082427479967711E-2</v>
      </c>
      <c r="DG175" s="21">
        <f t="shared" ca="1" si="186"/>
        <v>5.115569635105012E-2</v>
      </c>
      <c r="DH175" s="21">
        <f t="shared" ca="1" si="187"/>
        <v>9.2080253431890219E-2</v>
      </c>
      <c r="DI175" s="21">
        <f t="shared" ca="1" si="188"/>
        <v>0.15346708905315035</v>
      </c>
      <c r="DJ175" s="21">
        <f t="shared" ca="1" si="189"/>
        <v>0.23020063357972553</v>
      </c>
      <c r="DL175" s="16" cm="1">
        <f t="array" aca="1" ref="DL175" ca="1">MAX(_xlfn._xlws.FILTER(CW175:DJ175,CW175:DJ175&lt;BU175))</f>
        <v>-1.3951553550286397E-2</v>
      </c>
      <c r="DM175" s="16" cm="1">
        <f t="array" aca="1" ref="DM175" ca="1">MIN(_xlfn._xlws.FILTER(CW175:DJ175,CW175:DJ175&gt;BU175))</f>
        <v>-7.0830964178377085E-3</v>
      </c>
      <c r="DN175" s="2" cm="1">
        <f t="array" aca="1" ref="DN175" ca="1">_FV(EC175,"Fechamento anterior",TRUE)</f>
        <v>22.61</v>
      </c>
      <c r="DO175" s="28">
        <f t="shared" ca="1" si="162"/>
        <v>0.67899205946259877</v>
      </c>
      <c r="DP175" s="15">
        <f t="shared" ca="1" si="190"/>
        <v>22.294555374228025</v>
      </c>
      <c r="DQ175" s="15">
        <f t="shared" ca="1" si="191"/>
        <v>22.449851189992689</v>
      </c>
      <c r="DR175" s="9"/>
      <c r="DS175" s="9"/>
      <c r="DT175" s="9"/>
      <c r="DU175" s="89">
        <v>1.3783551702168918E-2</v>
      </c>
      <c r="DV175" s="89">
        <f t="shared" ca="1" si="163"/>
        <v>6.868457132448688E-3</v>
      </c>
      <c r="DW175" s="72">
        <f t="shared" ca="1" si="164"/>
        <v>0.3295728606099752</v>
      </c>
      <c r="DX175" s="37"/>
      <c r="DY175" s="35">
        <f t="shared" si="174"/>
        <v>1.0771517998870903</v>
      </c>
      <c r="DZ175" s="56"/>
      <c r="EA175" s="56"/>
      <c r="EC175" s="2" t="e" vm="177">
        <v>#VALUE!</v>
      </c>
      <c r="EE175" s="10" cm="1">
        <f t="array" aca="1" ref="EE175" ca="1">_FV(EC175,"Ações em circulação",TRUE)</f>
        <v>84909370</v>
      </c>
      <c r="EF175" s="18">
        <f>VLOOKUP(BP175,Fundamentus!A:U,5,FALSE)</f>
        <v>1.0660000000000001</v>
      </c>
      <c r="EG175" s="2">
        <f t="shared" ca="1" si="165"/>
        <v>1784211902.439024</v>
      </c>
      <c r="EH175" s="17">
        <v>292967594.38048774</v>
      </c>
      <c r="EI175" s="17">
        <f t="shared" ca="1" si="166"/>
        <v>292967594.38048774</v>
      </c>
      <c r="EK175" s="16">
        <f t="shared" ca="1" si="153"/>
        <v>0</v>
      </c>
      <c r="EL175" s="32" t="str">
        <f>IF(VLOOKUP(BP175,Fundamentus!A:U,3,FALSE)&lt;15,"Bom",IF(VLOOKUP(BP175,Fundamentus!A:U,3,FALSE)&gt;15,"Ruim","n/a"))</f>
        <v>Bom</v>
      </c>
      <c r="EM175" s="28" t="str">
        <f>IF(VLOOKUP(BP175,Fundamentus!A:U,4,FALSE)&lt;1,"Baixo",IF(VLOOKUP(BP175,Fundamentus!A:U,4,FALSE)&lt;1.5,"Moderado",IF(VLOOKUP(BP175,Fundamentus!A:U,4,FALSE)&gt;1.5,"Alto","n/a")))</f>
        <v>Moderado</v>
      </c>
      <c r="EN175" s="17" t="str">
        <f>IF(VLOOKUP(BP175,Fundamentus!A:U,8,FALSE)&lt;0,"Risco elevado",IF(VLOOKUP(BP175,Fundamentus!A:U,8,FALSE)&lt;1,"Saudável",IF(VLOOKUP(BP175,Fundamentus!A:U,8,FALSE)&lt;3,"Estável",IF(VLOOKUP(BP175,Fundamentus!A:U,8,FALSE)&gt;3,"Alerta","n/a"))))</f>
        <v>Estável</v>
      </c>
      <c r="EO175" s="28" t="str">
        <f t="shared" si="167"/>
        <v>Bom</v>
      </c>
      <c r="EP175" s="17" t="str">
        <f>IF(VLOOKUP(BP175,Fundamentus!A:U,12,FALSE)&lt;2,"Subvalorizada",IF(VLOOKUP(BP175,Fundamentus!A:U,12,FALSE)&lt;6,"Muita barata",IF(VLOOKUP(BP175,Fundamentus!A:U,12,FALSE)&lt;6,"Barata",IF(VLOOKUP(BP175,Fundamentus!A:U,12,FALSE)&lt;8,"Atrativa",IF(VLOOKUP(BP175,Fundamentus!A:U,12,FALSE)&gt;8,"Supervalorizada","n/a")))))</f>
        <v>Muita barata</v>
      </c>
      <c r="ER175" s="17" t="str">
        <f>IF(VLOOKUP(BP175,Fundamentus!A:U,17,FALSE)&lt;0.1,"Fraco retorno",IF(VLOOKUP(BP175,Fundamentus!A:U,17,FALSE)&gt;0.1,"Bom retorno","n/a"))</f>
        <v>Bom retorno</v>
      </c>
      <c r="ES175" s="17" t="str">
        <f>IF(VLOOKUP(BP175,Fundamentus!A:U,16,FALSE)&lt;0.1,"Ineficiente",IF(VLOOKUP(BP175,Fundamentus!A:U,16,FALSE)&gt;0.1,"Eficiente","n/a"))</f>
        <v>Ineficiente</v>
      </c>
      <c r="ET175" s="33" t="str">
        <f>IF(VLOOKUP(BP175,Fundamentus!A:U,16,FALSE)&lt;0.1,"Oper. Ineficiente",IF(VLOOKUP(BP175,Fundamentus!A:U,16,FALSE)&gt;0.1,"Oper.Eficiente","n/a"))</f>
        <v>Oper. Ineficiente</v>
      </c>
      <c r="EU175" s="34">
        <f>VLOOKUP(BP175,Fundamentus!A:U,14,FALSE)</f>
        <v>0.16420000000000001</v>
      </c>
      <c r="EV175" s="17" t="str">
        <f>IF(VLOOKUP(BP175,Fundamentus!A:U,21,FALSE)&lt;0,"Negativo",IF(VLOOKUP(BP175,Fundamentus!A:U,21,FALSE)&lt;0.05,"Fraco",IF(VLOOKUP(BP175,Fundamentus!A:U,21,FALSE)&lt;0.1,"Bom",IF(VLOOKUP(BP175,Fundamentus!A:U,21,FALSE)&gt;0.1,"Muito bom","n/a"))))</f>
        <v>Muito bom</v>
      </c>
      <c r="EX175" s="29" t="str">
        <f>IF(VLOOKUP(BP175,Fundamentus!A:U,15,FALSE)&gt;1,"Bom",IF(VLOOKUP(BP175,Fundamentus!A:U,15,FALSE)&lt;1,"Ruim","n/a"))</f>
        <v>Bom</v>
      </c>
      <c r="EY175" s="17" t="str">
        <f>IF(VLOOKUP(BP175,Fundamentus!A:U,20,FALSE)&lt;0.5,"Baixa",IF(VLOOKUP(BP175,Fundamentus!A:U,20,FALSE)&lt;1,"Moderada",IF(VLOOKUP(BP175,Fundamentus!A:U,20,FALSE)&lt;2,"Alerta",IF(VLOOKUP(BP175,Fundamentus!A:U,20,FALSE)&gt;2,"Alta","n/a"))))</f>
        <v>Baixa</v>
      </c>
      <c r="EZ175" s="10"/>
    </row>
    <row r="176" spans="1:156" s="2" customFormat="1" ht="11.25" x14ac:dyDescent="0.2">
      <c r="A176" s="4">
        <v>0.5</v>
      </c>
      <c r="B176" s="4">
        <v>0.5</v>
      </c>
      <c r="C176" s="4">
        <v>0.37</v>
      </c>
      <c r="D176" s="4">
        <v>0.37</v>
      </c>
      <c r="E176" s="4">
        <v>1.1499999999999999</v>
      </c>
      <c r="F176" s="4">
        <v>1.1599999999999999</v>
      </c>
      <c r="G176" s="4">
        <v>1.18</v>
      </c>
      <c r="H176" s="4">
        <v>1</v>
      </c>
      <c r="I176" s="4">
        <v>1.17</v>
      </c>
      <c r="J176" s="4">
        <v>1.0900000000000001</v>
      </c>
      <c r="K176" s="4">
        <v>1.1599999999999999</v>
      </c>
      <c r="L176" s="4">
        <v>1.02</v>
      </c>
      <c r="M176" s="4">
        <v>1.05</v>
      </c>
      <c r="N176" s="4">
        <v>0.88</v>
      </c>
      <c r="O176" s="4">
        <v>0.9</v>
      </c>
      <c r="P176" s="4">
        <v>0.8</v>
      </c>
      <c r="Q176" s="4">
        <v>0.85</v>
      </c>
      <c r="R176" s="4">
        <v>0.9</v>
      </c>
      <c r="S176" s="4">
        <v>1.07</v>
      </c>
      <c r="T176" s="4">
        <v>1.01</v>
      </c>
      <c r="U176" s="4">
        <v>0.97</v>
      </c>
      <c r="V176" s="4">
        <v>0.95</v>
      </c>
      <c r="W176" s="4">
        <v>0.93</v>
      </c>
      <c r="X176" s="4">
        <v>1.21</v>
      </c>
      <c r="Y176" s="4">
        <v>2.0499999999999998</v>
      </c>
      <c r="Z176" s="4">
        <v>1.71</v>
      </c>
      <c r="AA176" s="4">
        <v>1.93</v>
      </c>
      <c r="AB176" s="4">
        <v>1.9</v>
      </c>
      <c r="AC176" s="4">
        <v>1.64</v>
      </c>
      <c r="AD176" s="4">
        <v>1.81</v>
      </c>
      <c r="AE176" s="4">
        <v>1.6</v>
      </c>
      <c r="AF176" s="4">
        <v>1.61</v>
      </c>
      <c r="AG176" s="4">
        <v>1.35</v>
      </c>
      <c r="AH176" s="4">
        <v>1.22</v>
      </c>
      <c r="AI176" s="4">
        <v>1.1499999999999999</v>
      </c>
      <c r="AJ176" s="4">
        <v>0.89</v>
      </c>
      <c r="AK176" s="4">
        <v>0.74</v>
      </c>
      <c r="AL176" s="4">
        <v>0.73</v>
      </c>
      <c r="AM176" s="4">
        <v>0.69</v>
      </c>
      <c r="AN176" s="4">
        <v>0.66</v>
      </c>
      <c r="AO176" s="4">
        <v>0.66</v>
      </c>
      <c r="AP176" s="4">
        <v>0.74</v>
      </c>
      <c r="AQ176" s="4">
        <v>0.77</v>
      </c>
      <c r="AR176" s="4">
        <v>0.76</v>
      </c>
      <c r="AS176" s="4">
        <v>0.79</v>
      </c>
      <c r="AT176" s="4">
        <v>0.97</v>
      </c>
      <c r="AU176" s="4">
        <v>1.1000000000000001</v>
      </c>
      <c r="AV176" s="4">
        <v>1.21</v>
      </c>
      <c r="AW176" s="4">
        <v>1.35</v>
      </c>
      <c r="AX176" s="4">
        <v>1.39</v>
      </c>
      <c r="AY176" s="12">
        <v>1.35</v>
      </c>
      <c r="AZ176" s="12">
        <v>1.46</v>
      </c>
      <c r="BA176" s="12">
        <v>1.18</v>
      </c>
      <c r="BB176" s="15">
        <v>1.55</v>
      </c>
      <c r="BC176" s="52">
        <v>1.45</v>
      </c>
      <c r="BD176" s="52">
        <v>1.17</v>
      </c>
      <c r="BE176" s="52">
        <v>1.1599999999999999</v>
      </c>
      <c r="BF176" s="52">
        <v>1.03</v>
      </c>
      <c r="BG176" s="67">
        <v>0.98</v>
      </c>
      <c r="BH176" s="52">
        <v>1.02</v>
      </c>
      <c r="BI176" s="52">
        <v>0.96</v>
      </c>
      <c r="BJ176" s="52">
        <v>0.94</v>
      </c>
      <c r="BK176" s="52">
        <v>0.95</v>
      </c>
      <c r="BL176" s="52">
        <v>1.06</v>
      </c>
      <c r="BM176" s="52">
        <v>1.1000000000000001</v>
      </c>
      <c r="BN176" s="52">
        <v>1.05</v>
      </c>
      <c r="BO176" s="52" cm="1">
        <f t="array" aca="1" ref="BO176" ca="1">_FV(EC176,"Preço")</f>
        <v>1.05</v>
      </c>
      <c r="BP176" s="69" t="s">
        <v>172</v>
      </c>
      <c r="BQ176" s="36" cm="1">
        <f t="array" aca="1" ref="BQ176" ca="1">_FV(EC176,"Média de volume",TRUE)</f>
        <v>5074990</v>
      </c>
      <c r="BR176" s="36">
        <v>2279500</v>
      </c>
      <c r="BS176" s="36" cm="1">
        <f t="array" aca="1" ref="BS176" ca="1">_FV(EC176,"Volume")</f>
        <v>2279500</v>
      </c>
      <c r="BT176" s="24" cm="1">
        <f t="array" aca="1" ref="BT176" ca="1">_FV(EC176,"Beta")</f>
        <v>1.4274</v>
      </c>
      <c r="BU176" s="71" cm="1">
        <f t="array" aca="1" ref="BU176" ca="1">_FV(EC176,"Variação (%)",TRUE)</f>
        <v>-2.7778000000000001E-2</v>
      </c>
      <c r="BW176" s="17" cm="1">
        <f t="array" aca="1" ref="BW176" ca="1">_FV(EC176,"Baixo")</f>
        <v>1.05</v>
      </c>
      <c r="BX176" s="17" cm="1">
        <f t="array" aca="1" ref="BX176" ca="1">_FV(EC176,"Alto")</f>
        <v>1.1000000000000001</v>
      </c>
      <c r="BY176" s="24"/>
      <c r="BZ176" s="63">
        <f ca="1">SQRT(22.5*(BO176/VLOOKUP(BP176,Fundamentus!A:U,3,FALSE))*(BO176/VLOOKUP(BP176,Fundamentus!A:U,4,FALSE)))</f>
        <v>2.7594234370969288</v>
      </c>
      <c r="CB176" s="62">
        <f t="shared" ca="1" si="168"/>
        <v>0</v>
      </c>
      <c r="CC176" s="8"/>
      <c r="CD176" s="61">
        <f t="shared" si="169"/>
        <v>0.37</v>
      </c>
      <c r="CE176" s="61">
        <f t="shared" si="170"/>
        <v>2.0499999999999998</v>
      </c>
      <c r="CF176" s="61">
        <f t="shared" si="171"/>
        <v>1.0912121212121209</v>
      </c>
      <c r="CG176" s="14"/>
      <c r="CH176" s="35">
        <f t="shared" si="154"/>
        <v>0.99787801134343423</v>
      </c>
      <c r="CI176" s="15">
        <f t="shared" si="172"/>
        <v>1.125</v>
      </c>
      <c r="CJ176" s="35">
        <f t="shared" si="155"/>
        <v>1.2521219886565658</v>
      </c>
      <c r="CL176" s="14"/>
      <c r="CM176" s="17">
        <f t="shared" si="156"/>
        <v>-1.4166666666666665</v>
      </c>
      <c r="CN176" s="17">
        <f t="shared" si="157"/>
        <v>-0.52333333333333321</v>
      </c>
      <c r="CO176" s="17">
        <f t="shared" si="158"/>
        <v>0.2633333333333332</v>
      </c>
      <c r="CP176" s="38">
        <f t="shared" si="173"/>
        <v>1.1566666666666665</v>
      </c>
      <c r="CQ176" s="17">
        <f t="shared" si="159"/>
        <v>1.9433333333333329</v>
      </c>
      <c r="CR176" s="17">
        <f t="shared" si="160"/>
        <v>2.836666666666666</v>
      </c>
      <c r="CS176" s="17">
        <f t="shared" si="161"/>
        <v>3.6233333333333331</v>
      </c>
      <c r="CT176" s="2" cm="1">
        <f t="array" aca="1" ref="CT176" ca="1">MAX(_xlfn._xlws.FILTER(CM176:CS176,CM176:CS176&lt;BO176))</f>
        <v>0.2633333333333332</v>
      </c>
      <c r="CU176" s="2" cm="1">
        <f t="array" aca="1" ref="CU176" ca="1">MIN(_xlfn._xlws.FILTER($CM176:$CS176,$CM176:$CS176&gt;BO176))</f>
        <v>1.1566666666666665</v>
      </c>
      <c r="CV176" s="16">
        <f t="shared" ca="1" si="175"/>
        <v>3.3924050632911413</v>
      </c>
      <c r="CW176" s="20">
        <f t="shared" ca="1" si="176"/>
        <v>-1.6962025316455707</v>
      </c>
      <c r="CX176" s="20">
        <f t="shared" ca="1" si="177"/>
        <v>-1.1308016877637137</v>
      </c>
      <c r="CY176" s="20">
        <f t="shared" ca="1" si="178"/>
        <v>-0.67848101265822824</v>
      </c>
      <c r="CZ176" s="20">
        <f t="shared" ca="1" si="179"/>
        <v>-0.37693389592123794</v>
      </c>
      <c r="DA176" s="20">
        <f t="shared" ca="1" si="180"/>
        <v>-0.19955323901712596</v>
      </c>
      <c r="DB176" s="20">
        <f t="shared" ca="1" si="181"/>
        <v>-0.10280015343306489</v>
      </c>
      <c r="DC176" s="20">
        <f t="shared" ca="1" si="182"/>
        <v>-5.219084712755602E-2</v>
      </c>
      <c r="DD176" s="21">
        <f t="shared" ca="1" si="183"/>
        <v>5.219084712755602E-2</v>
      </c>
      <c r="DE176" s="21">
        <f t="shared" ca="1" si="184"/>
        <v>0.10280015343306489</v>
      </c>
      <c r="DF176" s="21">
        <f t="shared" ca="1" si="185"/>
        <v>0.19955323901712596</v>
      </c>
      <c r="DG176" s="21">
        <f t="shared" ca="1" si="186"/>
        <v>0.37693389592123794</v>
      </c>
      <c r="DH176" s="21">
        <f t="shared" ca="1" si="187"/>
        <v>0.67848101265822824</v>
      </c>
      <c r="DI176" s="21">
        <f t="shared" ca="1" si="188"/>
        <v>1.1308016877637137</v>
      </c>
      <c r="DJ176" s="21">
        <f t="shared" ca="1" si="189"/>
        <v>1.6962025316455707</v>
      </c>
      <c r="DL176" s="16" cm="1">
        <f t="array" aca="1" ref="DL176" ca="1">MAX(_xlfn._xlws.FILTER(CW176:DJ176,CW176:DJ176&lt;BU176))</f>
        <v>-5.219084712755602E-2</v>
      </c>
      <c r="DM176" s="16" cm="1">
        <f t="array" aca="1" ref="DM176" ca="1">MIN(_xlfn._xlws.FILTER(CW176:DJ176,CW176:DJ176&gt;BU176))</f>
        <v>5.219084712755602E-2</v>
      </c>
      <c r="DN176" s="2" cm="1">
        <f t="array" aca="1" ref="DN176" ca="1">_FV(EC176,"Fechamento anterior",TRUE)</f>
        <v>1.08</v>
      </c>
      <c r="DO176" s="28">
        <f t="shared" ca="1" si="162"/>
        <v>0.23388266998341642</v>
      </c>
      <c r="DP176" s="15">
        <f t="shared" ca="1" si="190"/>
        <v>1.0236338851022395</v>
      </c>
      <c r="DQ176" s="15">
        <f t="shared" ca="1" si="191"/>
        <v>1.1363661148977606</v>
      </c>
      <c r="DR176" s="9"/>
      <c r="DS176" s="9"/>
      <c r="DT176" s="9"/>
      <c r="DU176" s="89">
        <v>4.9175515842182507E-2</v>
      </c>
      <c r="DV176" s="89">
        <f t="shared" ca="1" si="163"/>
        <v>0.10438169425511204</v>
      </c>
      <c r="DW176" s="72">
        <f t="shared" ca="1" si="164"/>
        <v>-0.58998447705707957</v>
      </c>
      <c r="DX176" s="37"/>
      <c r="DY176" s="35">
        <f t="shared" si="174"/>
        <v>6.3560994328282869E-2</v>
      </c>
      <c r="DZ176" s="56"/>
      <c r="EA176" s="56"/>
      <c r="EC176" s="2" t="e" vm="178">
        <v>#VALUE!</v>
      </c>
      <c r="EE176" s="10" cm="1">
        <f t="array" aca="1" ref="EE176" ca="1">_FV(EC176,"Ações em circulação",TRUE)</f>
        <v>31822290</v>
      </c>
      <c r="EF176" s="18">
        <f>VLOOKUP(BP176,Fundamentus!A:U,5,FALSE)</f>
        <v>3.181</v>
      </c>
      <c r="EG176" s="2">
        <f t="shared" ca="1" si="165"/>
        <v>10504056.743162528</v>
      </c>
      <c r="EH176" s="17">
        <v>-19603721.099764228</v>
      </c>
      <c r="EI176" s="17">
        <f t="shared" ca="1" si="166"/>
        <v>-19603721.099764228</v>
      </c>
      <c r="EK176" s="16">
        <f t="shared" ca="1" si="153"/>
        <v>0</v>
      </c>
      <c r="EL176" s="32" t="str">
        <f>IF(VLOOKUP(BP176,Fundamentus!A:U,3,FALSE)&lt;15,"Bom",IF(VLOOKUP(BP176,Fundamentus!A:U,3,FALSE)&gt;15,"Ruim","n/a"))</f>
        <v>Bom</v>
      </c>
      <c r="EM176" s="28" t="str">
        <f>IF(VLOOKUP(BP176,Fundamentus!A:U,4,FALSE)&lt;1,"Baixo",IF(VLOOKUP(BP176,Fundamentus!A:U,4,FALSE)&lt;1.5,"Moderado",IF(VLOOKUP(BP176,Fundamentus!A:U,4,FALSE)&gt;1.5,"Alto","n/a")))</f>
        <v>Baixo</v>
      </c>
      <c r="EN176" s="17" t="str">
        <f>IF(VLOOKUP(BP176,Fundamentus!A:U,8,FALSE)&lt;0,"Risco elevado",IF(VLOOKUP(BP176,Fundamentus!A:U,8,FALSE)&lt;1,"Saudável",IF(VLOOKUP(BP176,Fundamentus!A:U,8,FALSE)&lt;3,"Estável",IF(VLOOKUP(BP176,Fundamentus!A:U,8,FALSE)&gt;3,"Alerta","n/a"))))</f>
        <v>Risco elevado</v>
      </c>
      <c r="EO176" s="28" t="str">
        <f t="shared" si="167"/>
        <v>Bom</v>
      </c>
      <c r="EP176" s="17" t="str">
        <f>IF(VLOOKUP(BP176,Fundamentus!A:U,12,FALSE)&lt;2,"Subvalorizada",IF(VLOOKUP(BP176,Fundamentus!A:U,12,FALSE)&lt;6,"Muita barata",IF(VLOOKUP(BP176,Fundamentus!A:U,12,FALSE)&lt;6,"Barata",IF(VLOOKUP(BP176,Fundamentus!A:U,12,FALSE)&lt;8,"Atrativa",IF(VLOOKUP(BP176,Fundamentus!A:U,12,FALSE)&gt;8,"Supervalorizada","n/a")))))</f>
        <v>Subvalorizada</v>
      </c>
      <c r="ER176" s="17" t="str">
        <f>IF(VLOOKUP(BP176,Fundamentus!A:U,17,FALSE)&lt;0.1,"Fraco retorno",IF(VLOOKUP(BP176,Fundamentus!A:U,17,FALSE)&gt;0.1,"Bom retorno","n/a"))</f>
        <v>Bom retorno</v>
      </c>
      <c r="ES176" s="17" t="str">
        <f>IF(VLOOKUP(BP176,Fundamentus!A:U,16,FALSE)&lt;0.1,"Ineficiente",IF(VLOOKUP(BP176,Fundamentus!A:U,16,FALSE)&gt;0.1,"Eficiente","n/a"))</f>
        <v>Ineficiente</v>
      </c>
      <c r="ET176" s="33" t="str">
        <f>IF(VLOOKUP(BP176,Fundamentus!A:U,16,FALSE)&lt;0.1,"Oper. Ineficiente",IF(VLOOKUP(BP176,Fundamentus!A:U,16,FALSE)&gt;0.1,"Oper.Eficiente","n/a"))</f>
        <v>Oper. Ineficiente</v>
      </c>
      <c r="EU176" s="34">
        <f>VLOOKUP(BP176,Fundamentus!A:U,14,FALSE)</f>
        <v>-1.8663000000000001</v>
      </c>
      <c r="EV176" s="17" t="str">
        <f>IF(VLOOKUP(BP176,Fundamentus!A:U,21,FALSE)&lt;0,"Negativo",IF(VLOOKUP(BP176,Fundamentus!A:U,21,FALSE)&lt;0.05,"Fraco",IF(VLOOKUP(BP176,Fundamentus!A:U,21,FALSE)&lt;0.1,"Bom",IF(VLOOKUP(BP176,Fundamentus!A:U,21,FALSE)&gt;0.1,"Muito bom","n/a"))))</f>
        <v>Negativo</v>
      </c>
      <c r="EX176" s="29" t="str">
        <f>IF(VLOOKUP(BP176,Fundamentus!A:U,15,FALSE)&gt;1,"Bom",IF(VLOOKUP(BP176,Fundamentus!A:U,15,FALSE)&lt;1,"Ruim","n/a"))</f>
        <v>Ruim</v>
      </c>
      <c r="EY176" s="17" t="str">
        <f>IF(VLOOKUP(BP176,Fundamentus!A:U,20,FALSE)&lt;0.5,"Baixa",IF(VLOOKUP(BP176,Fundamentus!A:U,20,FALSE)&lt;1,"Moderada",IF(VLOOKUP(BP176,Fundamentus!A:U,20,FALSE)&lt;2,"Alerta",IF(VLOOKUP(BP176,Fundamentus!A:U,20,FALSE)&gt;2,"Alta","n/a"))))</f>
        <v>Baixa</v>
      </c>
      <c r="EZ176" s="10"/>
    </row>
    <row r="177" spans="1:156" s="2" customFormat="1" ht="11.25" x14ac:dyDescent="0.2">
      <c r="A177" s="4">
        <v>3.83</v>
      </c>
      <c r="B177" s="4">
        <v>3.88</v>
      </c>
      <c r="C177" s="4">
        <v>4.0599999999999996</v>
      </c>
      <c r="D177" s="4">
        <v>4.13</v>
      </c>
      <c r="E177" s="4">
        <v>4.24</v>
      </c>
      <c r="F177" s="4">
        <v>4.2</v>
      </c>
      <c r="G177" s="4">
        <v>3.87</v>
      </c>
      <c r="H177" s="4">
        <v>3.68</v>
      </c>
      <c r="I177" s="4">
        <v>3.71</v>
      </c>
      <c r="J177" s="4">
        <v>3.85</v>
      </c>
      <c r="K177" s="4">
        <v>3.85</v>
      </c>
      <c r="L177" s="4">
        <v>3.78</v>
      </c>
      <c r="M177" s="4">
        <v>3.74</v>
      </c>
      <c r="N177" s="4">
        <v>3.71</v>
      </c>
      <c r="O177" s="4">
        <v>4.04</v>
      </c>
      <c r="P177" s="4">
        <v>4.1500000000000004</v>
      </c>
      <c r="Q177" s="4">
        <v>5.39</v>
      </c>
      <c r="R177" s="4">
        <v>4.47</v>
      </c>
      <c r="S177" s="4">
        <v>4.93</v>
      </c>
      <c r="T177" s="4">
        <v>5.34</v>
      </c>
      <c r="U177" s="4">
        <v>5</v>
      </c>
      <c r="V177" s="4">
        <v>5.2</v>
      </c>
      <c r="W177" s="4">
        <v>5.25</v>
      </c>
      <c r="X177" s="4">
        <v>6.05</v>
      </c>
      <c r="Y177" s="4">
        <v>6.4</v>
      </c>
      <c r="Z177" s="4">
        <v>6.51</v>
      </c>
      <c r="AA177" s="4">
        <v>6.68</v>
      </c>
      <c r="AB177" s="4">
        <v>6.91</v>
      </c>
      <c r="AC177" s="4">
        <v>6.49</v>
      </c>
      <c r="AD177" s="4">
        <v>6.57</v>
      </c>
      <c r="AE177" s="4">
        <v>6.5</v>
      </c>
      <c r="AF177" s="4">
        <v>6.45</v>
      </c>
      <c r="AG177" s="4">
        <v>6.13</v>
      </c>
      <c r="AH177" s="4">
        <v>5.44</v>
      </c>
      <c r="AI177" s="4">
        <v>5.15</v>
      </c>
      <c r="AJ177" s="4">
        <v>5.25</v>
      </c>
      <c r="AK177" s="4">
        <v>5.32</v>
      </c>
      <c r="AL177" s="4">
        <v>4.9800000000000004</v>
      </c>
      <c r="AM177" s="4">
        <v>4.92</v>
      </c>
      <c r="AN177" s="4">
        <v>5.3</v>
      </c>
      <c r="AO177" s="4">
        <v>4.8499999999999996</v>
      </c>
      <c r="AP177" s="4">
        <v>4.4400000000000004</v>
      </c>
      <c r="AQ177" s="4">
        <v>4.3099999999999996</v>
      </c>
      <c r="AR177" s="4">
        <v>4.3600000000000003</v>
      </c>
      <c r="AS177" s="4">
        <v>4.25</v>
      </c>
      <c r="AT177" s="4">
        <v>4.3600000000000003</v>
      </c>
      <c r="AU177" s="4">
        <v>4.9950000000000001</v>
      </c>
      <c r="AV177" s="4">
        <v>4.88</v>
      </c>
      <c r="AW177" s="4">
        <v>4.5</v>
      </c>
      <c r="AX177" s="4">
        <v>4.1500000000000004</v>
      </c>
      <c r="AY177" s="12">
        <v>4.16</v>
      </c>
      <c r="AZ177" s="12">
        <v>4.5</v>
      </c>
      <c r="BA177" s="12">
        <v>4.4400000000000004</v>
      </c>
      <c r="BB177" s="15">
        <v>4.28</v>
      </c>
      <c r="BC177" s="52">
        <v>4.1100000000000003</v>
      </c>
      <c r="BD177" s="52">
        <v>4.07</v>
      </c>
      <c r="BE177" s="52">
        <v>4.04</v>
      </c>
      <c r="BF177" s="52">
        <v>4.05</v>
      </c>
      <c r="BG177" s="67">
        <v>4</v>
      </c>
      <c r="BH177" s="52">
        <v>4.0999999999999996</v>
      </c>
      <c r="BI177" s="52">
        <v>3.99</v>
      </c>
      <c r="BJ177" s="52">
        <v>4.07</v>
      </c>
      <c r="BK177" s="52">
        <v>4.03</v>
      </c>
      <c r="BL177" s="52">
        <v>4.01</v>
      </c>
      <c r="BM177" s="52">
        <v>4.04</v>
      </c>
      <c r="BN177" s="52">
        <v>4.0199999999999996</v>
      </c>
      <c r="BO177" s="52" cm="1">
        <f t="array" aca="1" ref="BO177" ca="1">_FV(EC177,"Preço")</f>
        <v>4.0199999999999996</v>
      </c>
      <c r="BP177" s="69" t="s">
        <v>173</v>
      </c>
      <c r="BQ177" s="36" cm="1">
        <f t="array" aca="1" ref="BQ177" ca="1">_FV(EC177,"Média de volume",TRUE)</f>
        <v>10670</v>
      </c>
      <c r="BR177" s="36">
        <v>10800</v>
      </c>
      <c r="BS177" s="36" cm="1">
        <f t="array" aca="1" ref="BS177" ca="1">_FV(EC177,"Volume")</f>
        <v>10800</v>
      </c>
      <c r="BT177" s="24" cm="1">
        <f t="array" aca="1" ref="BT177" ca="1">_FV(EC177,"Beta")</f>
        <v>1.8186</v>
      </c>
      <c r="BU177" s="71" cm="1">
        <f t="array" aca="1" ref="BU177" ca="1">_FV(EC177,"Variação (%)",TRUE)</f>
        <v>5.0000000000000001E-3</v>
      </c>
      <c r="BW177" s="17" cm="1">
        <f t="array" aca="1" ref="BW177" ca="1">_FV(EC177,"Baixo")</f>
        <v>4</v>
      </c>
      <c r="BX177" s="17" cm="1">
        <f t="array" aca="1" ref="BX177" ca="1">_FV(EC177,"Alto")</f>
        <v>4.21</v>
      </c>
      <c r="BY177" s="24"/>
      <c r="BZ177" s="63">
        <f ca="1">SQRT(22.5*(BO177/VLOOKUP(BP177,Fundamentus!A:U,3,FALSE))*(BO177/VLOOKUP(BP177,Fundamentus!A:U,4,FALSE)))</f>
        <v>14.763633438874994</v>
      </c>
      <c r="CB177" s="62">
        <f t="shared" ca="1" si="168"/>
        <v>0</v>
      </c>
      <c r="CC177" s="8"/>
      <c r="CD177" s="61">
        <f t="shared" si="169"/>
        <v>3.68</v>
      </c>
      <c r="CE177" s="61">
        <f t="shared" si="170"/>
        <v>6.91</v>
      </c>
      <c r="CF177" s="61">
        <f t="shared" si="171"/>
        <v>4.7023484848484856</v>
      </c>
      <c r="CG177" s="14"/>
      <c r="CH177" s="35">
        <f t="shared" si="154"/>
        <v>3.9838174794360501</v>
      </c>
      <c r="CI177" s="15">
        <f t="shared" si="172"/>
        <v>4.0249999999999986</v>
      </c>
      <c r="CJ177" s="35">
        <f t="shared" si="155"/>
        <v>4.066182520563947</v>
      </c>
      <c r="CL177" s="14"/>
      <c r="CM177" s="17">
        <f t="shared" si="156"/>
        <v>-0.39999999999999991</v>
      </c>
      <c r="CN177" s="17">
        <f t="shared" si="157"/>
        <v>1.6400000000000001</v>
      </c>
      <c r="CO177" s="17">
        <f t="shared" si="158"/>
        <v>2.83</v>
      </c>
      <c r="CP177" s="38">
        <f t="shared" si="173"/>
        <v>4.87</v>
      </c>
      <c r="CQ177" s="17">
        <f t="shared" si="159"/>
        <v>6.0600000000000005</v>
      </c>
      <c r="CR177" s="17">
        <f t="shared" si="160"/>
        <v>8.1</v>
      </c>
      <c r="CS177" s="17">
        <f t="shared" si="161"/>
        <v>9.2899999999999991</v>
      </c>
      <c r="CT177" s="2" cm="1">
        <f t="array" aca="1" ref="CT177" ca="1">MAX(_xlfn._xlws.FILTER(CM177:CS177,CM177:CS177&lt;BO177))</f>
        <v>2.83</v>
      </c>
      <c r="CU177" s="2" cm="1">
        <f t="array" aca="1" ref="CU177" ca="1">MIN(_xlfn._xlws.FILTER($CM177:$CS177,$CM177:$CS177&gt;BO177))</f>
        <v>4.87</v>
      </c>
      <c r="CV177" s="16">
        <f t="shared" ca="1" si="175"/>
        <v>0.72084805653710249</v>
      </c>
      <c r="CW177" s="20">
        <f t="shared" ca="1" si="176"/>
        <v>-0.36042402826855124</v>
      </c>
      <c r="CX177" s="20">
        <f t="shared" ca="1" si="177"/>
        <v>-0.24028268551236751</v>
      </c>
      <c r="CY177" s="20">
        <f t="shared" ca="1" si="178"/>
        <v>-0.14416961130742051</v>
      </c>
      <c r="CZ177" s="20">
        <f t="shared" ca="1" si="179"/>
        <v>-8.0094228504122497E-2</v>
      </c>
      <c r="DA177" s="20">
        <f t="shared" ca="1" si="180"/>
        <v>-4.2402826855123678E-2</v>
      </c>
      <c r="DB177" s="20">
        <f t="shared" ca="1" si="181"/>
        <v>-2.1843880501124319E-2</v>
      </c>
      <c r="DC177" s="20">
        <f t="shared" ca="1" si="182"/>
        <v>-1.1089970100570808E-2</v>
      </c>
      <c r="DD177" s="21">
        <f t="shared" ca="1" si="183"/>
        <v>1.1089970100570808E-2</v>
      </c>
      <c r="DE177" s="21">
        <f t="shared" ca="1" si="184"/>
        <v>2.1843880501124319E-2</v>
      </c>
      <c r="DF177" s="21">
        <f t="shared" ca="1" si="185"/>
        <v>4.2402826855123678E-2</v>
      </c>
      <c r="DG177" s="21">
        <f t="shared" ca="1" si="186"/>
        <v>8.0094228504122497E-2</v>
      </c>
      <c r="DH177" s="21">
        <f t="shared" ca="1" si="187"/>
        <v>0.14416961130742051</v>
      </c>
      <c r="DI177" s="21">
        <f t="shared" ca="1" si="188"/>
        <v>0.24028268551236751</v>
      </c>
      <c r="DJ177" s="21">
        <f t="shared" ca="1" si="189"/>
        <v>0.36042402826855124</v>
      </c>
      <c r="DL177" s="16" cm="1">
        <f t="array" aca="1" ref="DL177" ca="1">MAX(_xlfn._xlws.FILTER(CW177:DJ177,CW177:DJ177&lt;BU177))</f>
        <v>-1.1089970100570808E-2</v>
      </c>
      <c r="DM177" s="16" cm="1">
        <f t="array" aca="1" ref="DM177" ca="1">MIN(_xlfn._xlws.FILTER(CW177:DJ177,CW177:DJ177&gt;BU177))</f>
        <v>1.1089970100570808E-2</v>
      </c>
      <c r="DN177" s="2" cm="1">
        <f t="array" aca="1" ref="DN177" ca="1">_FV(EC177,"Fechamento anterior",TRUE)</f>
        <v>4</v>
      </c>
      <c r="DO177" s="28">
        <f t="shared" ca="1" si="162"/>
        <v>0.7254289215686196</v>
      </c>
      <c r="DP177" s="15">
        <f t="shared" ca="1" si="190"/>
        <v>3.9556401195977169</v>
      </c>
      <c r="DQ177" s="15">
        <f t="shared" ca="1" si="191"/>
        <v>4.0443598804022836</v>
      </c>
      <c r="DR177" s="9"/>
      <c r="DS177" s="9"/>
      <c r="DT177" s="9"/>
      <c r="DU177" s="89">
        <v>2.2268640450458645E-2</v>
      </c>
      <c r="DV177" s="89">
        <f t="shared" ca="1" si="163"/>
        <v>2.2179940201141616E-2</v>
      </c>
      <c r="DW177" s="72">
        <f t="shared" ca="1" si="164"/>
        <v>-0.12141073279463256</v>
      </c>
      <c r="DX177" s="37"/>
      <c r="DY177" s="35">
        <f t="shared" si="174"/>
        <v>2.0591260281974201E-2</v>
      </c>
      <c r="DZ177" s="56"/>
      <c r="EA177" s="56"/>
      <c r="EC177" s="2" t="e" vm="179">
        <v>#VALUE!</v>
      </c>
      <c r="EE177" s="10" cm="1">
        <f t="array" aca="1" ref="EE177" ca="1">_FV(EC177,"Ações em circulação",TRUE)</f>
        <v>44000000</v>
      </c>
      <c r="EF177" s="18">
        <f>VLOOKUP(BP177,Fundamentus!A:U,5,FALSE)</f>
        <v>0.13700000000000001</v>
      </c>
      <c r="EG177" s="2">
        <f t="shared" ca="1" si="165"/>
        <v>1291094890.5109487</v>
      </c>
      <c r="EH177" s="17">
        <v>387328.46715328458</v>
      </c>
      <c r="EI177" s="17">
        <f t="shared" ca="1" si="166"/>
        <v>387328.46715328458</v>
      </c>
      <c r="EK177" s="16">
        <f t="shared" ca="1" si="153"/>
        <v>0</v>
      </c>
      <c r="EL177" s="32" t="str">
        <f>IF(VLOOKUP(BP177,Fundamentus!A:U,3,FALSE)&lt;15,"Bom",IF(VLOOKUP(BP177,Fundamentus!A:U,3,FALSE)&gt;15,"Ruim","n/a"))</f>
        <v>Bom</v>
      </c>
      <c r="EM177" s="28" t="str">
        <f>IF(VLOOKUP(BP177,Fundamentus!A:U,4,FALSE)&lt;1,"Baixo",IF(VLOOKUP(BP177,Fundamentus!A:U,4,FALSE)&lt;1.5,"Moderado",IF(VLOOKUP(BP177,Fundamentus!A:U,4,FALSE)&gt;1.5,"Alto","n/a")))</f>
        <v>Baixo</v>
      </c>
      <c r="EN177" s="17" t="str">
        <f>IF(VLOOKUP(BP177,Fundamentus!A:U,8,FALSE)&lt;0,"Risco elevado",IF(VLOOKUP(BP177,Fundamentus!A:U,8,FALSE)&lt;1,"Saudável",IF(VLOOKUP(BP177,Fundamentus!A:U,8,FALSE)&lt;3,"Estável",IF(VLOOKUP(BP177,Fundamentus!A:U,8,FALSE)&gt;3,"Alerta","n/a"))))</f>
        <v>Risco elevado</v>
      </c>
      <c r="EO177" s="28" t="str">
        <f t="shared" si="167"/>
        <v>Ruim</v>
      </c>
      <c r="EP177" s="17" t="str">
        <f>IF(VLOOKUP(BP177,Fundamentus!A:U,12,FALSE)&lt;2,"Subvalorizada",IF(VLOOKUP(BP177,Fundamentus!A:U,12,FALSE)&lt;6,"Muita barata",IF(VLOOKUP(BP177,Fundamentus!A:U,12,FALSE)&lt;6,"Barata",IF(VLOOKUP(BP177,Fundamentus!A:U,12,FALSE)&lt;8,"Atrativa",IF(VLOOKUP(BP177,Fundamentus!A:U,12,FALSE)&gt;8,"Supervalorizada","n/a")))))</f>
        <v>Muita barata</v>
      </c>
      <c r="ER177" s="17" t="str">
        <f>IF(VLOOKUP(BP177,Fundamentus!A:U,17,FALSE)&lt;0.1,"Fraco retorno",IF(VLOOKUP(BP177,Fundamentus!A:U,17,FALSE)&gt;0.1,"Bom retorno","n/a"))</f>
        <v>Fraco retorno</v>
      </c>
      <c r="ES177" s="17" t="str">
        <f>IF(VLOOKUP(BP177,Fundamentus!A:U,16,FALSE)&lt;0.1,"Ineficiente",IF(VLOOKUP(BP177,Fundamentus!A:U,16,FALSE)&gt;0.1,"Eficiente","n/a"))</f>
        <v>Ineficiente</v>
      </c>
      <c r="ET177" s="33" t="str">
        <f>IF(VLOOKUP(BP177,Fundamentus!A:U,16,FALSE)&lt;0.1,"Oper. Ineficiente",IF(VLOOKUP(BP177,Fundamentus!A:U,16,FALSE)&gt;0.1,"Oper.Eficiente","n/a"))</f>
        <v>Oper. Ineficiente</v>
      </c>
      <c r="EU177" s="34">
        <f>VLOOKUP(BP177,Fundamentus!A:U,14,FALSE)</f>
        <v>2.9999999999999997E-4</v>
      </c>
      <c r="EV177" s="17" t="str">
        <f>IF(VLOOKUP(BP177,Fundamentus!A:U,21,FALSE)&lt;0,"Negativo",IF(VLOOKUP(BP177,Fundamentus!A:U,21,FALSE)&lt;0.05,"Fraco",IF(VLOOKUP(BP177,Fundamentus!A:U,21,FALSE)&lt;0.1,"Bom",IF(VLOOKUP(BP177,Fundamentus!A:U,21,FALSE)&gt;0.1,"Muito bom","n/a"))))</f>
        <v>Bom</v>
      </c>
      <c r="EX177" s="29" t="str">
        <f>IF(VLOOKUP(BP177,Fundamentus!A:U,15,FALSE)&gt;1,"Bom",IF(VLOOKUP(BP177,Fundamentus!A:U,15,FALSE)&lt;1,"Ruim","n/a"))</f>
        <v>Ruim</v>
      </c>
      <c r="EY177" s="17" t="str">
        <f>IF(VLOOKUP(BP177,Fundamentus!A:U,20,FALSE)&lt;0.5,"Baixa",IF(VLOOKUP(BP177,Fundamentus!A:U,20,FALSE)&lt;1,"Moderada",IF(VLOOKUP(BP177,Fundamentus!A:U,20,FALSE)&lt;2,"Alerta",IF(VLOOKUP(BP177,Fundamentus!A:U,20,FALSE)&gt;2,"Alta","n/a"))))</f>
        <v>Alerta</v>
      </c>
      <c r="EZ177" s="10"/>
    </row>
    <row r="178" spans="1:156" s="2" customFormat="1" ht="11.25" x14ac:dyDescent="0.2">
      <c r="A178" s="4">
        <v>12.03</v>
      </c>
      <c r="B178" s="4">
        <v>11.27</v>
      </c>
      <c r="C178" s="4">
        <v>11.5</v>
      </c>
      <c r="D178" s="4">
        <v>11.38</v>
      </c>
      <c r="E178" s="4">
        <v>10.96</v>
      </c>
      <c r="F178" s="4">
        <v>10.88</v>
      </c>
      <c r="G178" s="4">
        <v>10.7</v>
      </c>
      <c r="H178" s="4">
        <v>10.93</v>
      </c>
      <c r="I178" s="4">
        <v>11.5</v>
      </c>
      <c r="J178" s="4">
        <v>12.42</v>
      </c>
      <c r="K178" s="4">
        <v>12.53</v>
      </c>
      <c r="L178" s="4">
        <v>12</v>
      </c>
      <c r="M178" s="4">
        <v>11.72</v>
      </c>
      <c r="N178" s="4">
        <v>11.18</v>
      </c>
      <c r="O178" s="4">
        <v>11.62</v>
      </c>
      <c r="P178" s="4">
        <v>11</v>
      </c>
      <c r="Q178" s="4">
        <v>11.23</v>
      </c>
      <c r="R178" s="4">
        <v>11.28</v>
      </c>
      <c r="S178" s="4">
        <v>11.25</v>
      </c>
      <c r="T178" s="4">
        <v>11.15</v>
      </c>
      <c r="U178" s="4">
        <v>11.02</v>
      </c>
      <c r="V178" s="4">
        <v>10.52</v>
      </c>
      <c r="W178" s="4">
        <v>10.47</v>
      </c>
      <c r="X178" s="4">
        <v>10.050000000000001</v>
      </c>
      <c r="Y178" s="4">
        <v>9.9499999999999993</v>
      </c>
      <c r="Z178" s="4">
        <v>9.81</v>
      </c>
      <c r="AA178" s="4">
        <v>9.27</v>
      </c>
      <c r="AB178" s="4">
        <v>10.23</v>
      </c>
      <c r="AC178" s="4">
        <v>9.26</v>
      </c>
      <c r="AD178" s="4">
        <v>9.1199999999999992</v>
      </c>
      <c r="AE178" s="4">
        <v>9.17</v>
      </c>
      <c r="AF178" s="4">
        <v>8.85</v>
      </c>
      <c r="AG178" s="4">
        <v>9</v>
      </c>
      <c r="AH178" s="4">
        <v>8.4600000000000009</v>
      </c>
      <c r="AI178" s="4">
        <v>8.24</v>
      </c>
      <c r="AJ178" s="4">
        <v>8.1</v>
      </c>
      <c r="AK178" s="4">
        <v>8.3000000000000007</v>
      </c>
      <c r="AL178" s="4">
        <v>8.14</v>
      </c>
      <c r="AM178" s="4">
        <v>7.98</v>
      </c>
      <c r="AN178" s="4">
        <v>8.06</v>
      </c>
      <c r="AO178" s="4">
        <v>8.09</v>
      </c>
      <c r="AP178" s="4">
        <v>8.58</v>
      </c>
      <c r="AQ178" s="4">
        <v>8.0299999999999994</v>
      </c>
      <c r="AR178" s="4">
        <v>7.99</v>
      </c>
      <c r="AS178" s="4">
        <v>8.16</v>
      </c>
      <c r="AT178" s="4">
        <v>8.08</v>
      </c>
      <c r="AU178" s="4">
        <v>7.9850000000000003</v>
      </c>
      <c r="AV178" s="4">
        <v>8.26</v>
      </c>
      <c r="AW178" s="4">
        <v>8.41</v>
      </c>
      <c r="AX178" s="4">
        <v>8.57</v>
      </c>
      <c r="AY178" s="12">
        <v>9.11</v>
      </c>
      <c r="AZ178" s="12">
        <v>8.92</v>
      </c>
      <c r="BA178" s="12">
        <v>8.48</v>
      </c>
      <c r="BB178" s="15">
        <v>7.84</v>
      </c>
      <c r="BC178" s="52">
        <v>7.8</v>
      </c>
      <c r="BD178" s="52">
        <v>7.77</v>
      </c>
      <c r="BE178" s="52">
        <v>7.7</v>
      </c>
      <c r="BF178" s="52">
        <v>7.22</v>
      </c>
      <c r="BG178" s="67">
        <v>7.18</v>
      </c>
      <c r="BH178" s="52">
        <v>7.13</v>
      </c>
      <c r="BI178" s="52">
        <v>6.82</v>
      </c>
      <c r="BJ178" s="52">
        <v>6.92</v>
      </c>
      <c r="BK178" s="52">
        <v>6.35</v>
      </c>
      <c r="BL178" s="52">
        <v>5.75</v>
      </c>
      <c r="BM178" s="52">
        <v>5.21</v>
      </c>
      <c r="BN178" s="52">
        <v>4.9000000000000004</v>
      </c>
      <c r="BO178" s="52" cm="1">
        <f t="array" aca="1" ref="BO178" ca="1">_FV(EC178,"Preço")</f>
        <v>4.9000000000000004</v>
      </c>
      <c r="BP178" s="69" t="s">
        <v>174</v>
      </c>
      <c r="BQ178" s="36" cm="1">
        <f t="array" aca="1" ref="BQ178" ca="1">_FV(EC178,"Média de volume",TRUE)</f>
        <v>788660</v>
      </c>
      <c r="BR178" s="36">
        <v>487000</v>
      </c>
      <c r="BS178" s="36" cm="1">
        <f t="array" aca="1" ref="BS178" ca="1">_FV(EC178,"Volume")</f>
        <v>487000</v>
      </c>
      <c r="BT178" s="24" cm="1">
        <f t="array" aca="1" ref="BT178" ca="1">_FV(EC178,"Beta")</f>
        <v>1.2639</v>
      </c>
      <c r="BU178" s="71" cm="1">
        <f t="array" aca="1" ref="BU178" ca="1">_FV(EC178,"Variação (%)",TRUE)</f>
        <v>8.2299999999999995E-3</v>
      </c>
      <c r="BW178" s="17" cm="1">
        <f t="array" aca="1" ref="BW178" ca="1">_FV(EC178,"Baixo")</f>
        <v>4.83</v>
      </c>
      <c r="BX178" s="17" cm="1">
        <f t="array" aca="1" ref="BX178" ca="1">_FV(EC178,"Alto")</f>
        <v>5</v>
      </c>
      <c r="BY178" s="24"/>
      <c r="BZ178" s="63">
        <f ca="1">SQRT(22.5*(BO178/VLOOKUP(BP178,Fundamentus!A:U,3,FALSE))*(BO178/VLOOKUP(BP178,Fundamentus!A:U,4,FALSE)))</f>
        <v>9.8397894660023013</v>
      </c>
      <c r="CB178" s="62">
        <f t="shared" ca="1" si="168"/>
        <v>0</v>
      </c>
      <c r="CC178" s="8"/>
      <c r="CD178" s="61">
        <f t="shared" si="169"/>
        <v>4.9000000000000004</v>
      </c>
      <c r="CE178" s="61">
        <f t="shared" si="170"/>
        <v>12.53</v>
      </c>
      <c r="CF178" s="61">
        <f t="shared" si="171"/>
        <v>9.2391666666666694</v>
      </c>
      <c r="CG178" s="14"/>
      <c r="CH178" s="35">
        <f t="shared" si="154"/>
        <v>2.8564681883311112</v>
      </c>
      <c r="CI178" s="15">
        <f t="shared" si="172"/>
        <v>4.3299999999999272</v>
      </c>
      <c r="CJ178" s="35">
        <f t="shared" si="155"/>
        <v>5.8035318116687433</v>
      </c>
      <c r="CL178" s="14"/>
      <c r="CM178" s="17">
        <f t="shared" si="156"/>
        <v>-5.2733333333333334</v>
      </c>
      <c r="CN178" s="17">
        <f t="shared" si="157"/>
        <v>-0.18666666666666654</v>
      </c>
      <c r="CO178" s="17">
        <f t="shared" si="158"/>
        <v>2.3566666666666656</v>
      </c>
      <c r="CP178" s="38">
        <f t="shared" si="173"/>
        <v>7.4433333333333325</v>
      </c>
      <c r="CQ178" s="17">
        <f t="shared" si="159"/>
        <v>9.9866666666666646</v>
      </c>
      <c r="CR178" s="17">
        <f t="shared" si="160"/>
        <v>15.073333333333331</v>
      </c>
      <c r="CS178" s="17">
        <f t="shared" si="161"/>
        <v>17.616666666666664</v>
      </c>
      <c r="CT178" s="2" cm="1">
        <f t="array" aca="1" ref="CT178" ca="1">MAX(_xlfn._xlws.FILTER(CM178:CS178,CM178:CS178&lt;BO178))</f>
        <v>2.3566666666666656</v>
      </c>
      <c r="CU178" s="2" cm="1">
        <f t="array" aca="1" ref="CU178" ca="1">MIN(_xlfn._xlws.FILTER($CM178:$CS178,$CM178:$CS178&gt;BO178))</f>
        <v>7.4433333333333325</v>
      </c>
      <c r="CV178" s="16">
        <f t="shared" ca="1" si="175"/>
        <v>2.1584158415841594</v>
      </c>
      <c r="CW178" s="20">
        <f t="shared" ca="1" si="176"/>
        <v>-1.0792079207920797</v>
      </c>
      <c r="CX178" s="20">
        <f t="shared" ca="1" si="177"/>
        <v>-0.71947194719471985</v>
      </c>
      <c r="CY178" s="20">
        <f t="shared" ca="1" si="178"/>
        <v>-0.4316831683168319</v>
      </c>
      <c r="CZ178" s="20">
        <f t="shared" ca="1" si="179"/>
        <v>-0.23982398239823993</v>
      </c>
      <c r="DA178" s="20">
        <f t="shared" ca="1" si="180"/>
        <v>-0.12696563774024466</v>
      </c>
      <c r="DB178" s="20">
        <f t="shared" ca="1" si="181"/>
        <v>-6.540654065406544E-2</v>
      </c>
      <c r="DC178" s="20">
        <f t="shared" ca="1" si="182"/>
        <v>-3.3206397562833223E-2</v>
      </c>
      <c r="DD178" s="21">
        <f t="shared" ca="1" si="183"/>
        <v>3.3206397562833223E-2</v>
      </c>
      <c r="DE178" s="21">
        <f t="shared" ca="1" si="184"/>
        <v>6.540654065406544E-2</v>
      </c>
      <c r="DF178" s="21">
        <f t="shared" ca="1" si="185"/>
        <v>0.12696563774024466</v>
      </c>
      <c r="DG178" s="21">
        <f t="shared" ca="1" si="186"/>
        <v>0.23982398239823993</v>
      </c>
      <c r="DH178" s="21">
        <f t="shared" ca="1" si="187"/>
        <v>0.4316831683168319</v>
      </c>
      <c r="DI178" s="21">
        <f t="shared" ca="1" si="188"/>
        <v>0.71947194719471985</v>
      </c>
      <c r="DJ178" s="21">
        <f t="shared" ca="1" si="189"/>
        <v>1.0792079207920797</v>
      </c>
      <c r="DL178" s="16" cm="1">
        <f t="array" aca="1" ref="DL178" ca="1">MAX(_xlfn._xlws.FILTER(CW178:DJ178,CW178:DJ178&lt;BU178))</f>
        <v>-3.3206397562833223E-2</v>
      </c>
      <c r="DM178" s="16" cm="1">
        <f t="array" aca="1" ref="DM178" ca="1">MIN(_xlfn._xlws.FILTER(CW178:DJ178,CW178:DJ178&gt;BU178))</f>
        <v>3.3206397562833223E-2</v>
      </c>
      <c r="DN178" s="2" cm="1">
        <f t="array" aca="1" ref="DN178" ca="1">_FV(EC178,"Fechamento anterior",TRUE)</f>
        <v>4.8600000000000003</v>
      </c>
      <c r="DO178" s="28">
        <f t="shared" ca="1" si="162"/>
        <v>0.62392871974931108</v>
      </c>
      <c r="DP178" s="15">
        <f t="shared" ca="1" si="190"/>
        <v>4.6986169078446309</v>
      </c>
      <c r="DQ178" s="15">
        <f t="shared" ca="1" si="191"/>
        <v>5.0213830921553697</v>
      </c>
      <c r="DR178" s="9"/>
      <c r="DS178" s="9"/>
      <c r="DT178" s="9"/>
      <c r="DU178" s="89">
        <v>4.6202998279675618E-2</v>
      </c>
      <c r="DV178" s="89">
        <f t="shared" ca="1" si="163"/>
        <v>6.6412795125666446E-2</v>
      </c>
      <c r="DW178" s="72">
        <f t="shared" ca="1" si="164"/>
        <v>0.38682571729111986</v>
      </c>
      <c r="DX178" s="37"/>
      <c r="DY178" s="35">
        <f t="shared" si="174"/>
        <v>0.73676590583440815</v>
      </c>
      <c r="DZ178" s="56"/>
      <c r="EA178" s="56"/>
      <c r="EC178" s="2" t="e" vm="180">
        <v>#VALUE!</v>
      </c>
      <c r="EE178" s="10" cm="1">
        <f t="array" aca="1" ref="EE178" ca="1">_FV(EC178,"Ações em circulação",TRUE)</f>
        <v>139297900</v>
      </c>
      <c r="EF178" s="18">
        <f>VLOOKUP(BP178,Fundamentus!A:U,5,FALSE)</f>
        <v>0.46700000000000003</v>
      </c>
      <c r="EG178" s="2">
        <f t="shared" ca="1" si="165"/>
        <v>1461583961.4561026</v>
      </c>
      <c r="EH178" s="17">
        <v>70886822.130620971</v>
      </c>
      <c r="EI178" s="17">
        <f t="shared" ca="1" si="166"/>
        <v>70886822.130620971</v>
      </c>
      <c r="EK178" s="16">
        <f t="shared" ca="1" si="153"/>
        <v>0</v>
      </c>
      <c r="EL178" s="32" t="str">
        <f>IF(VLOOKUP(BP178,Fundamentus!A:U,3,FALSE)&lt;15,"Bom",IF(VLOOKUP(BP178,Fundamentus!A:U,3,FALSE)&gt;15,"Ruim","n/a"))</f>
        <v>Bom</v>
      </c>
      <c r="EM178" s="28" t="str">
        <f>IF(VLOOKUP(BP178,Fundamentus!A:U,4,FALSE)&lt;1,"Baixo",IF(VLOOKUP(BP178,Fundamentus!A:U,4,FALSE)&lt;1.5,"Moderado",IF(VLOOKUP(BP178,Fundamentus!A:U,4,FALSE)&gt;1.5,"Alto","n/a")))</f>
        <v>Baixo</v>
      </c>
      <c r="EN178" s="17" t="str">
        <f>IF(VLOOKUP(BP178,Fundamentus!A:U,8,FALSE)&lt;0,"Risco elevado",IF(VLOOKUP(BP178,Fundamentus!A:U,8,FALSE)&lt;1,"Saudável",IF(VLOOKUP(BP178,Fundamentus!A:U,8,FALSE)&lt;3,"Estável",IF(VLOOKUP(BP178,Fundamentus!A:U,8,FALSE)&gt;3,"Alerta","n/a"))))</f>
        <v>Estável</v>
      </c>
      <c r="EO178" s="28" t="str">
        <f t="shared" si="167"/>
        <v>Ruim</v>
      </c>
      <c r="EP178" s="17" t="str">
        <f>IF(VLOOKUP(BP178,Fundamentus!A:U,12,FALSE)&lt;2,"Subvalorizada",IF(VLOOKUP(BP178,Fundamentus!A:U,12,FALSE)&lt;6,"Muita barata",IF(VLOOKUP(BP178,Fundamentus!A:U,12,FALSE)&lt;6,"Barata",IF(VLOOKUP(BP178,Fundamentus!A:U,12,FALSE)&lt;8,"Atrativa",IF(VLOOKUP(BP178,Fundamentus!A:U,12,FALSE)&gt;8,"Supervalorizada","n/a")))))</f>
        <v>Supervalorizada</v>
      </c>
      <c r="ER178" s="17" t="str">
        <f>IF(VLOOKUP(BP178,Fundamentus!A:U,17,FALSE)&lt;0.1,"Fraco retorno",IF(VLOOKUP(BP178,Fundamentus!A:U,17,FALSE)&gt;0.1,"Bom retorno","n/a"))</f>
        <v>Fraco retorno</v>
      </c>
      <c r="ES178" s="17" t="str">
        <f>IF(VLOOKUP(BP178,Fundamentus!A:U,16,FALSE)&lt;0.1,"Ineficiente",IF(VLOOKUP(BP178,Fundamentus!A:U,16,FALSE)&gt;0.1,"Eficiente","n/a"))</f>
        <v>Ineficiente</v>
      </c>
      <c r="ET178" s="33" t="str">
        <f>IF(VLOOKUP(BP178,Fundamentus!A:U,16,FALSE)&lt;0.1,"Oper. Ineficiente",IF(VLOOKUP(BP178,Fundamentus!A:U,16,FALSE)&gt;0.1,"Oper.Eficiente","n/a"))</f>
        <v>Oper. Ineficiente</v>
      </c>
      <c r="EU178" s="34">
        <f>VLOOKUP(BP178,Fundamentus!A:U,14,FALSE)</f>
        <v>4.8500000000000001E-2</v>
      </c>
      <c r="EV178" s="17" t="str">
        <f>IF(VLOOKUP(BP178,Fundamentus!A:U,21,FALSE)&lt;0,"Negativo",IF(VLOOKUP(BP178,Fundamentus!A:U,21,FALSE)&lt;0.05,"Fraco",IF(VLOOKUP(BP178,Fundamentus!A:U,21,FALSE)&lt;0.1,"Bom",IF(VLOOKUP(BP178,Fundamentus!A:U,21,FALSE)&gt;0.1,"Muito bom","n/a"))))</f>
        <v>Negativo</v>
      </c>
      <c r="EX178" s="29" t="str">
        <f>IF(VLOOKUP(BP178,Fundamentus!A:U,15,FALSE)&gt;1,"Bom",IF(VLOOKUP(BP178,Fundamentus!A:U,15,FALSE)&lt;1,"Ruim","n/a"))</f>
        <v>Bom</v>
      </c>
      <c r="EY178" s="17" t="str">
        <f>IF(VLOOKUP(BP178,Fundamentus!A:U,20,FALSE)&lt;0.5,"Baixa",IF(VLOOKUP(BP178,Fundamentus!A:U,20,FALSE)&lt;1,"Moderada",IF(VLOOKUP(BP178,Fundamentus!A:U,20,FALSE)&lt;2,"Alerta",IF(VLOOKUP(BP178,Fundamentus!A:U,20,FALSE)&gt;2,"Alta","n/a"))))</f>
        <v>Moderada</v>
      </c>
      <c r="EZ178" s="10"/>
    </row>
    <row r="179" spans="1:156" s="2" customFormat="1" ht="11.25" x14ac:dyDescent="0.2">
      <c r="A179" s="4">
        <v>6.29</v>
      </c>
      <c r="B179" s="4">
        <v>6.2</v>
      </c>
      <c r="C179" s="4">
        <v>6.1</v>
      </c>
      <c r="D179" s="4">
        <v>6.11</v>
      </c>
      <c r="E179" s="4">
        <v>6.08</v>
      </c>
      <c r="F179" s="4">
        <v>5.73</v>
      </c>
      <c r="G179" s="4">
        <v>5.85</v>
      </c>
      <c r="H179" s="4">
        <v>6.15</v>
      </c>
      <c r="I179" s="4">
        <v>6.19</v>
      </c>
      <c r="J179" s="4">
        <v>6.21</v>
      </c>
      <c r="K179" s="4">
        <v>5.99</v>
      </c>
      <c r="L179" s="4">
        <v>5.92</v>
      </c>
      <c r="M179" s="4">
        <v>5.74</v>
      </c>
      <c r="N179" s="4">
        <v>5.89</v>
      </c>
      <c r="O179" s="4">
        <v>5.4</v>
      </c>
      <c r="P179" s="4">
        <v>5.81</v>
      </c>
      <c r="Q179" s="4">
        <v>5.41</v>
      </c>
      <c r="R179" s="4">
        <v>5.71</v>
      </c>
      <c r="S179" s="4">
        <v>5.75</v>
      </c>
      <c r="T179" s="4">
        <v>5.8</v>
      </c>
      <c r="U179" s="4">
        <v>5.44</v>
      </c>
      <c r="V179" s="4">
        <v>5.59</v>
      </c>
      <c r="W179" s="4">
        <v>5.48</v>
      </c>
      <c r="X179" s="4">
        <v>5.14</v>
      </c>
      <c r="Y179" s="4">
        <v>5.14</v>
      </c>
      <c r="Z179" s="4">
        <v>4.97</v>
      </c>
      <c r="AA179" s="4">
        <v>5.07</v>
      </c>
      <c r="AB179" s="4">
        <v>5.16</v>
      </c>
      <c r="AC179" s="4">
        <v>4.7300000000000004</v>
      </c>
      <c r="AD179" s="4">
        <v>4.68</v>
      </c>
      <c r="AE179" s="4">
        <v>4.59</v>
      </c>
      <c r="AF179" s="4">
        <v>4.1500000000000004</v>
      </c>
      <c r="AG179" s="4">
        <v>4.08</v>
      </c>
      <c r="AH179" s="4">
        <v>3.75</v>
      </c>
      <c r="AI179" s="4">
        <v>3.87</v>
      </c>
      <c r="AJ179" s="4">
        <v>3.77</v>
      </c>
      <c r="AK179" s="4">
        <v>3.86</v>
      </c>
      <c r="AL179" s="4">
        <v>3.45</v>
      </c>
      <c r="AM179" s="4">
        <v>3.52</v>
      </c>
      <c r="AN179" s="4">
        <v>4.3899999999999997</v>
      </c>
      <c r="AO179" s="4">
        <v>4.1500000000000004</v>
      </c>
      <c r="AP179" s="4">
        <v>4</v>
      </c>
      <c r="AQ179" s="4">
        <v>4.3</v>
      </c>
      <c r="AR179" s="4">
        <v>4.0599999999999996</v>
      </c>
      <c r="AS179" s="4">
        <v>4.5</v>
      </c>
      <c r="AT179" s="4">
        <v>4.8</v>
      </c>
      <c r="AU179" s="4">
        <v>4.2750000000000004</v>
      </c>
      <c r="AV179" s="4">
        <v>4.6500000000000004</v>
      </c>
      <c r="AW179" s="4">
        <v>4.3499999999999996</v>
      </c>
      <c r="AX179" s="4">
        <v>4.4400000000000004</v>
      </c>
      <c r="AY179" s="12">
        <v>4.7</v>
      </c>
      <c r="AZ179" s="12">
        <v>4.54</v>
      </c>
      <c r="BA179" s="12">
        <v>4.57</v>
      </c>
      <c r="BB179" s="15">
        <v>4.38</v>
      </c>
      <c r="BC179" s="52">
        <v>4.34</v>
      </c>
      <c r="BD179" s="52">
        <v>4.59</v>
      </c>
      <c r="BE179" s="52">
        <v>4.46</v>
      </c>
      <c r="BF179" s="52">
        <v>4.4800000000000004</v>
      </c>
      <c r="BG179" s="67">
        <v>4.34</v>
      </c>
      <c r="BH179" s="52">
        <v>4.4000000000000004</v>
      </c>
      <c r="BI179" s="52">
        <v>4.12</v>
      </c>
      <c r="BJ179" s="52">
        <v>3.56</v>
      </c>
      <c r="BK179" s="52">
        <v>3.51</v>
      </c>
      <c r="BL179" s="52">
        <v>3.58</v>
      </c>
      <c r="BM179" s="52">
        <v>3.53</v>
      </c>
      <c r="BN179" s="52">
        <v>3.56</v>
      </c>
      <c r="BO179" s="52" cm="1">
        <f t="array" aca="1" ref="BO179" ca="1">_FV(EC179,"Preço")</f>
        <v>3.56</v>
      </c>
      <c r="BP179" s="69" t="s">
        <v>175</v>
      </c>
      <c r="BQ179" s="36" cm="1">
        <f t="array" aca="1" ref="BQ179" ca="1">_FV(EC179,"Média de volume",TRUE)</f>
        <v>560</v>
      </c>
      <c r="BR179" s="36">
        <v>200</v>
      </c>
      <c r="BS179" s="36" cm="1">
        <f t="array" aca="1" ref="BS179" ca="1">_FV(EC179,"Volume")</f>
        <v>200</v>
      </c>
      <c r="BT179" s="24" cm="1">
        <f t="array" aca="1" ref="BT179" ca="1">_FV(EC179,"Beta")</f>
        <v>0.45390000000000003</v>
      </c>
      <c r="BU179" s="71" cm="1">
        <f t="array" aca="1" ref="BU179" ca="1">_FV(EC179,"Variação (%)",TRUE)</f>
        <v>2.8170000000000001E-3</v>
      </c>
      <c r="BW179" s="17" cm="1">
        <f t="array" aca="1" ref="BW179" ca="1">_FV(EC179,"Baixo")</f>
        <v>3.5</v>
      </c>
      <c r="BX179" s="17" cm="1">
        <f t="array" aca="1" ref="BX179" ca="1">_FV(EC179,"Alto")</f>
        <v>3.56</v>
      </c>
      <c r="BY179" s="24"/>
      <c r="BZ179" s="63">
        <f ca="1">SQRT(22.5*(BO179/VLOOKUP(BP179,Fundamentus!A:U,3,FALSE))*(BO179/VLOOKUP(BP179,Fundamentus!A:U,4,FALSE)))</f>
        <v>209.45203232758055</v>
      </c>
      <c r="CB179" s="62">
        <f t="shared" ca="1" si="168"/>
        <v>0</v>
      </c>
      <c r="CC179" s="8"/>
      <c r="CD179" s="61">
        <f t="shared" si="169"/>
        <v>3.45</v>
      </c>
      <c r="CE179" s="61">
        <f t="shared" si="170"/>
        <v>6.29</v>
      </c>
      <c r="CF179" s="61">
        <f t="shared" si="171"/>
        <v>4.8385606060606037</v>
      </c>
      <c r="CG179" s="14"/>
      <c r="CH179" s="35">
        <f t="shared" si="154"/>
        <v>3.5203613054160297</v>
      </c>
      <c r="CI179" s="15">
        <f t="shared" si="172"/>
        <v>3.5699999999999932</v>
      </c>
      <c r="CJ179" s="35">
        <f t="shared" si="155"/>
        <v>3.6196386945839567</v>
      </c>
      <c r="CL179" s="14"/>
      <c r="CM179" s="17">
        <f t="shared" si="156"/>
        <v>-0.26333333333333275</v>
      </c>
      <c r="CN179" s="17">
        <f t="shared" si="157"/>
        <v>1.5933333333333337</v>
      </c>
      <c r="CO179" s="17">
        <f t="shared" si="158"/>
        <v>2.5766666666666671</v>
      </c>
      <c r="CP179" s="38">
        <f t="shared" si="173"/>
        <v>4.4333333333333336</v>
      </c>
      <c r="CQ179" s="17">
        <f t="shared" si="159"/>
        <v>5.416666666666667</v>
      </c>
      <c r="CR179" s="17">
        <f t="shared" si="160"/>
        <v>7.2733333333333334</v>
      </c>
      <c r="CS179" s="17">
        <f t="shared" si="161"/>
        <v>8.2566666666666677</v>
      </c>
      <c r="CT179" s="2" cm="1">
        <f t="array" aca="1" ref="CT179" ca="1">MAX(_xlfn._xlws.FILTER(CM179:CS179,CM179:CS179&lt;BO179))</f>
        <v>2.5766666666666671</v>
      </c>
      <c r="CU179" s="2" cm="1">
        <f t="array" aca="1" ref="CU179" ca="1">MIN(_xlfn._xlws.FILTER($CM179:$CS179,$CM179:$CS179&gt;BO179))</f>
        <v>4.4333333333333336</v>
      </c>
      <c r="CV179" s="16">
        <f t="shared" ref="CV179:CV186" ca="1" si="192">(CU179/CT179)-1</f>
        <v>0.72056921086675274</v>
      </c>
      <c r="CW179" s="20">
        <f t="shared" ref="CW179:CW186" ca="1" si="193">-$CV179/2</f>
        <v>-0.36028460543337637</v>
      </c>
      <c r="CX179" s="20">
        <f t="shared" ref="CX179:CX186" ca="1" si="194">-$CV179/3</f>
        <v>-0.24018973695558424</v>
      </c>
      <c r="CY179" s="20">
        <f t="shared" ref="CY179:CY186" ca="1" si="195">-$CV179/5</f>
        <v>-0.14411384217335055</v>
      </c>
      <c r="CZ179" s="20">
        <f t="shared" ref="CZ179:CZ186" ca="1" si="196">-$CV179/9</f>
        <v>-8.0063245651861417E-2</v>
      </c>
      <c r="DA179" s="20">
        <f t="shared" ref="DA179:DA186" ca="1" si="197">-$CV179/17</f>
        <v>-4.2386424168632517E-2</v>
      </c>
      <c r="DB179" s="20">
        <f t="shared" ref="DB179:DB186" ca="1" si="198">-$CV179/33</f>
        <v>-2.183543063232584E-2</v>
      </c>
      <c r="DC179" s="20">
        <f t="shared" ref="DC179:DC186" ca="1" si="199">-$CV179/65</f>
        <v>-1.1085680167180811E-2</v>
      </c>
      <c r="DD179" s="21">
        <f t="shared" ref="DD179:DD186" ca="1" si="200">-$CV179/65*-1</f>
        <v>1.1085680167180811E-2</v>
      </c>
      <c r="DE179" s="21">
        <f t="shared" ref="DE179:DE186" ca="1" si="201">-$CV179/33*-1</f>
        <v>2.183543063232584E-2</v>
      </c>
      <c r="DF179" s="21">
        <f t="shared" ref="DF179:DF186" ca="1" si="202">-$CV179/17*-1</f>
        <v>4.2386424168632517E-2</v>
      </c>
      <c r="DG179" s="21">
        <f t="shared" ref="DG179:DG186" ca="1" si="203">-$CV179/9*-1</f>
        <v>8.0063245651861417E-2</v>
      </c>
      <c r="DH179" s="21">
        <f t="shared" ref="DH179:DH186" ca="1" si="204">-$CV179/5*-1</f>
        <v>0.14411384217335055</v>
      </c>
      <c r="DI179" s="21">
        <f t="shared" ref="DI179:DI186" ca="1" si="205">-$CV179/3*-1</f>
        <v>0.24018973695558424</v>
      </c>
      <c r="DJ179" s="21">
        <f t="shared" ref="DJ179:DJ186" ca="1" si="206">-$CV179/2*-1</f>
        <v>0.36028460543337637</v>
      </c>
      <c r="DL179" s="16" cm="1">
        <f t="array" aca="1" ref="DL179" ca="1">MAX(_xlfn._xlws.FILTER(CW179:DJ179,CW179:DJ179&lt;BU179))</f>
        <v>-1.1085680167180811E-2</v>
      </c>
      <c r="DM179" s="16" cm="1">
        <f t="array" aca="1" ref="DM179" ca="1">MIN(_xlfn._xlws.FILTER(CW179:DJ179,CW179:DJ179&gt;BU179))</f>
        <v>1.1085680167180811E-2</v>
      </c>
      <c r="DN179" s="2" cm="1">
        <f t="array" aca="1" ref="DN179" ca="1">_FV(EC179,"Fechamento anterior",TRUE)</f>
        <v>3.55</v>
      </c>
      <c r="DO179" s="28">
        <f t="shared" ca="1" si="162"/>
        <v>0.62705135661365197</v>
      </c>
      <c r="DP179" s="15">
        <f t="shared" ref="DP179:DP186" ca="1" si="207">DN179+(DN179*DL179)</f>
        <v>3.5106458354065078</v>
      </c>
      <c r="DQ179" s="15">
        <f t="shared" ref="DQ179:DQ186" ca="1" si="208">DN179+(DN179*DM179)</f>
        <v>3.5893541645934919</v>
      </c>
      <c r="DR179" s="9"/>
      <c r="DS179" s="9"/>
      <c r="DT179" s="9"/>
      <c r="DU179" s="89">
        <v>2.1978021978021969E-2</v>
      </c>
      <c r="DV179" s="89">
        <f t="shared" ca="1" si="163"/>
        <v>2.2171360334361623E-2</v>
      </c>
      <c r="DW179" s="72">
        <f t="shared" ca="1" si="164"/>
        <v>-0.20145574100620617</v>
      </c>
      <c r="DX179" s="37"/>
      <c r="DY179" s="35">
        <f t="shared" si="174"/>
        <v>2.4819347291981837E-2</v>
      </c>
      <c r="DZ179" s="56"/>
      <c r="EA179" s="56"/>
      <c r="EC179" s="2" t="e" vm="181">
        <v>#VALUE!</v>
      </c>
      <c r="EE179" s="10" cm="1">
        <f t="array" aca="1" ref="EE179" ca="1">_FV(EC179,"Ações em circulação",TRUE)</f>
        <v>7716400</v>
      </c>
      <c r="EF179" s="18">
        <f>VLOOKUP(BP179,Fundamentus!A:U,5,FALSE)</f>
        <v>2.8000000000000001E-2</v>
      </c>
      <c r="EG179" s="2">
        <f t="shared" ca="1" si="165"/>
        <v>981085142.85714281</v>
      </c>
      <c r="EH179" s="17">
        <v>-40911250.457142852</v>
      </c>
      <c r="EI179" s="17">
        <f t="shared" ca="1" si="166"/>
        <v>-40911250.457142852</v>
      </c>
      <c r="EK179" s="16">
        <f t="shared" ca="1" si="153"/>
        <v>0</v>
      </c>
      <c r="EL179" s="39" t="str">
        <f>IF(VLOOKUP(BP179,Fundamentus!A:U,3,FALSE)&lt;15,"Bom",IF(VLOOKUP(BP179,Fundamentus!A:U,3,FALSE)&gt;15,"Ruim","n/a"))</f>
        <v>Bom</v>
      </c>
      <c r="EM179" s="40" t="str">
        <f>IF(VLOOKUP(BP179,Fundamentus!A:U,4,FALSE)&lt;1,"Baixo",IF(VLOOKUP(BP179,Fundamentus!A:U,4,FALSE)&lt;1.5,"Moderado",IF(VLOOKUP(BP179,Fundamentus!A:U,4,FALSE)&gt;1.5,"Alto","n/a")))</f>
        <v>Baixo</v>
      </c>
      <c r="EN179" s="41" t="str">
        <f>IF(VLOOKUP(BP179,Fundamentus!A:U,8,FALSE)&lt;0,"Risco elevado",IF(VLOOKUP(BP179,Fundamentus!A:U,8,FALSE)&lt;1,"Saudável",IF(VLOOKUP(BP179,Fundamentus!A:U,8,FALSE)&lt;3,"Estável",IF(VLOOKUP(BP179,Fundamentus!A:U,8,FALSE)&gt;3,"Alerta","n/a"))))</f>
        <v>Risco elevado</v>
      </c>
      <c r="EO179" s="40" t="str">
        <f t="shared" si="167"/>
        <v>Ruim</v>
      </c>
      <c r="EP179" s="41" t="str">
        <f>IF(VLOOKUP(BP179,Fundamentus!A:U,12,FALSE)&lt;2,"Subvalorizada",IF(VLOOKUP(BP179,Fundamentus!A:U,12,FALSE)&lt;6,"Muita barata",IF(VLOOKUP(BP179,Fundamentus!A:U,12,FALSE)&lt;6,"Barata",IF(VLOOKUP(BP179,Fundamentus!A:U,12,FALSE)&lt;8,"Atrativa",IF(VLOOKUP(BP179,Fundamentus!A:U,12,FALSE)&gt;8,"Supervalorizada","n/a")))))</f>
        <v>Muita barata</v>
      </c>
      <c r="ER179" s="41" t="str">
        <f>IF(VLOOKUP(BP179,Fundamentus!A:U,17,FALSE)&lt;0.1,"Fraco retorno",IF(VLOOKUP(BP179,Fundamentus!A:U,17,FALSE)&gt;0.1,"Bom retorno","n/a"))</f>
        <v>Fraco retorno</v>
      </c>
      <c r="ES179" s="41" t="str">
        <f>IF(VLOOKUP(BP179,Fundamentus!A:U,16,FALSE)&lt;0.1,"Ineficiente",IF(VLOOKUP(BP179,Fundamentus!A:U,16,FALSE)&gt;0.1,"Eficiente","n/a"))</f>
        <v>Ineficiente</v>
      </c>
      <c r="ET179" s="42" t="str">
        <f>IF(VLOOKUP(BP179,Fundamentus!A:U,16,FALSE)&lt;0.1,"Oper. Ineficiente",IF(VLOOKUP(BP179,Fundamentus!A:U,16,FALSE)&gt;0.1,"Oper.Eficiente","n/a"))</f>
        <v>Oper. Ineficiente</v>
      </c>
      <c r="EU179" s="43">
        <f>VLOOKUP(BP179,Fundamentus!A:U,14,FALSE)</f>
        <v>-4.1700000000000001E-2</v>
      </c>
      <c r="EV179" s="41" t="str">
        <f>IF(VLOOKUP(BP179,Fundamentus!A:U,21,FALSE)&lt;0,"Negativo",IF(VLOOKUP(BP179,Fundamentus!A:U,21,FALSE)&lt;0.05,"Fraco",IF(VLOOKUP(BP179,Fundamentus!A:U,21,FALSE)&lt;0.1,"Bom",IF(VLOOKUP(BP179,Fundamentus!A:U,21,FALSE)&gt;0.1,"Muito bom","n/a"))))</f>
        <v>Muito bom</v>
      </c>
      <c r="EX179" s="44" t="str">
        <f>IF(VLOOKUP(BP179,Fundamentus!A:U,15,FALSE)&gt;1,"Bom",IF(VLOOKUP(BP179,Fundamentus!A:U,15,FALSE)&lt;1,"Ruim","n/a"))</f>
        <v>Ruim</v>
      </c>
      <c r="EY179" s="41" t="str">
        <f>IF(VLOOKUP(BP179,Fundamentus!A:U,20,FALSE)&lt;0.5,"Baixa",IF(VLOOKUP(BP179,Fundamentus!A:U,20,FALSE)&lt;1,"Moderada",IF(VLOOKUP(BP179,Fundamentus!A:U,20,FALSE)&lt;2,"Alerta",IF(VLOOKUP(BP179,Fundamentus!A:U,20,FALSE)&gt;2,"Alta","n/a"))))</f>
        <v>Baixa</v>
      </c>
      <c r="EZ179" s="10"/>
    </row>
    <row r="180" spans="1:156" s="2" customFormat="1" ht="11.25" x14ac:dyDescent="0.2">
      <c r="A180" s="4">
        <v>9.32</v>
      </c>
      <c r="B180" s="4">
        <v>9.27</v>
      </c>
      <c r="C180" s="4">
        <v>8.91</v>
      </c>
      <c r="D180" s="4">
        <v>8.8800000000000008</v>
      </c>
      <c r="E180" s="4">
        <v>8.7899999999999991</v>
      </c>
      <c r="F180" s="4">
        <v>8.41</v>
      </c>
      <c r="G180" s="4">
        <v>7.94</v>
      </c>
      <c r="H180" s="4">
        <v>8.0399999999999991</v>
      </c>
      <c r="I180" s="4">
        <v>8.59</v>
      </c>
      <c r="J180" s="4">
        <v>8.8800000000000008</v>
      </c>
      <c r="K180" s="4">
        <v>9.41</v>
      </c>
      <c r="L180" s="4">
        <v>9.18</v>
      </c>
      <c r="M180" s="4">
        <v>8.99</v>
      </c>
      <c r="N180" s="4">
        <v>9.02</v>
      </c>
      <c r="O180" s="4">
        <v>8.6</v>
      </c>
      <c r="P180" s="4">
        <v>8.5500000000000007</v>
      </c>
      <c r="Q180" s="4">
        <v>8.75</v>
      </c>
      <c r="R180" s="4">
        <v>8.3000000000000007</v>
      </c>
      <c r="S180" s="4">
        <v>8.51</v>
      </c>
      <c r="T180" s="4">
        <v>8.74</v>
      </c>
      <c r="U180" s="4">
        <v>8.2899999999999991</v>
      </c>
      <c r="V180" s="4">
        <v>8</v>
      </c>
      <c r="W180" s="4">
        <v>8.08</v>
      </c>
      <c r="X180" s="4">
        <v>8.1</v>
      </c>
      <c r="Y180" s="4">
        <v>8.0299999999999994</v>
      </c>
      <c r="Z180" s="4">
        <v>8.1300000000000008</v>
      </c>
      <c r="AA180" s="4">
        <v>8.2100000000000009</v>
      </c>
      <c r="AB180" s="4">
        <v>8.85</v>
      </c>
      <c r="AC180" s="4">
        <v>9.17</v>
      </c>
      <c r="AD180" s="4">
        <v>8.44</v>
      </c>
      <c r="AE180" s="4">
        <v>8.06</v>
      </c>
      <c r="AF180" s="4">
        <v>8</v>
      </c>
      <c r="AG180" s="4">
        <v>7.91</v>
      </c>
      <c r="AH180" s="4">
        <v>7.58</v>
      </c>
      <c r="AI180" s="4">
        <v>7.55</v>
      </c>
      <c r="AJ180" s="4">
        <v>7.13</v>
      </c>
      <c r="AK180" s="4">
        <v>7.06</v>
      </c>
      <c r="AL180" s="4">
        <v>7.24</v>
      </c>
      <c r="AM180" s="4">
        <v>7.87</v>
      </c>
      <c r="AN180" s="4">
        <v>8.68</v>
      </c>
      <c r="AO180" s="4">
        <v>8.9600000000000009</v>
      </c>
      <c r="AP180" s="4">
        <v>8.85</v>
      </c>
      <c r="AQ180" s="4">
        <v>8.7799999999999994</v>
      </c>
      <c r="AR180" s="4">
        <v>8.6</v>
      </c>
      <c r="AS180" s="4">
        <v>9.1</v>
      </c>
      <c r="AT180" s="4">
        <v>9.4700000000000006</v>
      </c>
      <c r="AU180" s="4">
        <v>9.58</v>
      </c>
      <c r="AV180" s="4">
        <v>9.5299999999999994</v>
      </c>
      <c r="AW180" s="4">
        <v>9.33</v>
      </c>
      <c r="AX180" s="4">
        <v>9.5399999999999991</v>
      </c>
      <c r="AY180" s="12">
        <v>9.6999999999999993</v>
      </c>
      <c r="AZ180" s="12">
        <v>10.050000000000001</v>
      </c>
      <c r="BA180" s="12">
        <v>10.44</v>
      </c>
      <c r="BB180" s="15">
        <v>10.89</v>
      </c>
      <c r="BC180" s="52">
        <v>10.99</v>
      </c>
      <c r="BD180" s="52">
        <v>11.25</v>
      </c>
      <c r="BE180" s="52">
        <v>11.6</v>
      </c>
      <c r="BF180" s="52">
        <v>11.92</v>
      </c>
      <c r="BG180" s="67">
        <v>11.84</v>
      </c>
      <c r="BH180" s="52">
        <v>12.02</v>
      </c>
      <c r="BI180" s="52">
        <v>12.1</v>
      </c>
      <c r="BJ180" s="52">
        <v>12.61</v>
      </c>
      <c r="BK180" s="52">
        <v>12.65</v>
      </c>
      <c r="BL180" s="52">
        <v>12.07</v>
      </c>
      <c r="BM180" s="52">
        <v>11.87</v>
      </c>
      <c r="BN180" s="52">
        <v>12.39</v>
      </c>
      <c r="BO180" s="52" cm="1">
        <f t="array" aca="1" ref="BO180" ca="1">_FV(EC180,"Preço")</f>
        <v>12.39</v>
      </c>
      <c r="BP180" s="66" t="s">
        <v>89</v>
      </c>
      <c r="BQ180" s="36" cm="1">
        <f t="array" aca="1" ref="BQ180" ca="1">_FV(EC180,"Média de volume",TRUE)</f>
        <v>417360</v>
      </c>
      <c r="BR180" s="36">
        <v>303800</v>
      </c>
      <c r="BS180" s="36" cm="1">
        <f t="array" aca="1" ref="BS180" ca="1">_FV(EC180,"Volume")</f>
        <v>303800</v>
      </c>
      <c r="BT180" s="24" cm="1">
        <f t="array" aca="1" ref="BT180" ca="1">_FV(EC180,"Beta")</f>
        <v>1.1586000000000001</v>
      </c>
      <c r="BU180" s="71" cm="1">
        <f t="array" aca="1" ref="BU180" ca="1">_FV(EC180,"Variação (%)",TRUE)</f>
        <v>9.7800000000000005E-3</v>
      </c>
      <c r="BW180" s="17" cm="1">
        <f t="array" aca="1" ref="BW180" ca="1">_FV(EC180,"Baixo")</f>
        <v>12.2</v>
      </c>
      <c r="BX180" s="17" cm="1">
        <f t="array" aca="1" ref="BX180" ca="1">_FV(EC180,"Alto")</f>
        <v>12.57</v>
      </c>
      <c r="BY180" s="24"/>
      <c r="BZ180" s="17">
        <f ca="1">SQRT(22.5*(BO180/VLOOKUP(BP180,Fundamentus!A:U,3,FALSE))*(BO180/VLOOKUP(BP180,Fundamentus!A:U,4,FALSE)))</f>
        <v>18.484715186142861</v>
      </c>
      <c r="CB180" s="62">
        <f t="shared" ca="1" si="168"/>
        <v>0</v>
      </c>
      <c r="CC180" s="8"/>
      <c r="CD180" s="61">
        <f t="shared" si="169"/>
        <v>7.06</v>
      </c>
      <c r="CE180" s="61">
        <f t="shared" si="170"/>
        <v>12.65</v>
      </c>
      <c r="CF180" s="61">
        <f t="shared" si="171"/>
        <v>9.2665151515151543</v>
      </c>
      <c r="CG180" s="14"/>
      <c r="CH180" s="35">
        <f t="shared" si="154"/>
        <v>11.391473911816428</v>
      </c>
      <c r="CI180" s="15">
        <f t="shared" si="172"/>
        <v>12</v>
      </c>
      <c r="CJ180" s="35">
        <f t="shared" si="155"/>
        <v>12.608526088183572</v>
      </c>
      <c r="CL180" s="14"/>
      <c r="CM180" s="17">
        <f t="shared" si="156"/>
        <v>3.160000000000001</v>
      </c>
      <c r="CN180" s="17">
        <f t="shared" si="157"/>
        <v>5.1100000000000003</v>
      </c>
      <c r="CO180" s="17">
        <f t="shared" si="158"/>
        <v>8.7500000000000018</v>
      </c>
      <c r="CP180" s="38">
        <f t="shared" si="173"/>
        <v>10.700000000000001</v>
      </c>
      <c r="CQ180" s="17">
        <f t="shared" si="159"/>
        <v>14.340000000000003</v>
      </c>
      <c r="CR180" s="17">
        <f t="shared" si="160"/>
        <v>16.290000000000003</v>
      </c>
      <c r="CS180" s="17">
        <f t="shared" si="161"/>
        <v>19.930000000000003</v>
      </c>
      <c r="CT180" s="2" cm="1">
        <f t="array" aca="1" ref="CT180" ca="1">MAX(_xlfn._xlws.FILTER(CM180:CS180,CM180:CS180&lt;BO180))</f>
        <v>10.700000000000001</v>
      </c>
      <c r="CU180" s="2" cm="1">
        <f t="array" aca="1" ref="CU180" ca="1">MIN(_xlfn._xlws.FILTER($CM180:$CS180,$CM180:$CS180&gt;BO180))</f>
        <v>14.340000000000003</v>
      </c>
      <c r="CV180" s="16">
        <f t="shared" ca="1" si="192"/>
        <v>0.34018691588785055</v>
      </c>
      <c r="CW180" s="20">
        <f t="shared" ca="1" si="193"/>
        <v>-0.17009345794392527</v>
      </c>
      <c r="CX180" s="20">
        <f t="shared" ca="1" si="194"/>
        <v>-0.11339563862928352</v>
      </c>
      <c r="CY180" s="20">
        <f t="shared" ca="1" si="195"/>
        <v>-6.8037383177570104E-2</v>
      </c>
      <c r="CZ180" s="20">
        <f t="shared" ca="1" si="196"/>
        <v>-3.7798546209761169E-2</v>
      </c>
      <c r="DA180" s="20">
        <f t="shared" ca="1" si="197"/>
        <v>-2.0010995052226505E-2</v>
      </c>
      <c r="DB180" s="20">
        <f t="shared" ca="1" si="198"/>
        <v>-1.0308694420843955E-2</v>
      </c>
      <c r="DC180" s="20">
        <f t="shared" ca="1" si="199"/>
        <v>-5.2336448598130853E-3</v>
      </c>
      <c r="DD180" s="21">
        <f t="shared" ca="1" si="200"/>
        <v>5.2336448598130853E-3</v>
      </c>
      <c r="DE180" s="21">
        <f t="shared" ca="1" si="201"/>
        <v>1.0308694420843955E-2</v>
      </c>
      <c r="DF180" s="21">
        <f t="shared" ca="1" si="202"/>
        <v>2.0010995052226505E-2</v>
      </c>
      <c r="DG180" s="21">
        <f t="shared" ca="1" si="203"/>
        <v>3.7798546209761169E-2</v>
      </c>
      <c r="DH180" s="21">
        <f t="shared" ca="1" si="204"/>
        <v>6.8037383177570104E-2</v>
      </c>
      <c r="DI180" s="21">
        <f t="shared" ca="1" si="205"/>
        <v>0.11339563862928352</v>
      </c>
      <c r="DJ180" s="21">
        <f t="shared" ca="1" si="206"/>
        <v>0.17009345794392527</v>
      </c>
      <c r="DL180" s="16" cm="1">
        <f t="array" aca="1" ref="DL180" ca="1">MAX(_xlfn._xlws.FILTER(CW180:DJ180,CW180:DJ180&lt;BU180))</f>
        <v>5.2336448598130853E-3</v>
      </c>
      <c r="DM180" s="16" cm="1">
        <f t="array" aca="1" ref="DM180" ca="1">MIN(_xlfn._xlws.FILTER(CW180:DJ180,CW180:DJ180&gt;BU180))</f>
        <v>1.0308694420843955E-2</v>
      </c>
      <c r="DN180" s="2" cm="1">
        <f t="array" aca="1" ref="DN180" ca="1">_FV(EC180,"Fechamento anterior",TRUE)</f>
        <v>12.27</v>
      </c>
      <c r="DO180" s="28">
        <f t="shared" ca="1" si="162"/>
        <v>0.89581514146001762</v>
      </c>
      <c r="DP180" s="15">
        <f t="shared" ca="1" si="207"/>
        <v>12.334216822429907</v>
      </c>
      <c r="DQ180" s="15">
        <f t="shared" ca="1" si="208"/>
        <v>12.396487680543755</v>
      </c>
      <c r="DR180" s="9"/>
      <c r="DS180" s="9"/>
      <c r="DT180" s="9"/>
      <c r="DU180" s="89">
        <v>1.0262864888415553E-2</v>
      </c>
      <c r="DV180" s="89">
        <f t="shared" ca="1" si="163"/>
        <v>5.0750495610308701E-3</v>
      </c>
      <c r="DW180" s="75">
        <f t="shared" ca="1" si="164"/>
        <v>0.64089281885043958</v>
      </c>
      <c r="DX180" s="37"/>
      <c r="DY180" s="35">
        <f t="shared" si="174"/>
        <v>0.30426304409178601</v>
      </c>
      <c r="DZ180" s="56"/>
      <c r="EA180" s="56"/>
      <c r="EC180" s="2" t="e" vm="182">
        <v>#VALUE!</v>
      </c>
      <c r="EE180" s="10" cm="1">
        <f t="array" aca="1" ref="EE180" ca="1">_FV(EC180,"Ações em circulação",TRUE)</f>
        <v>195434400</v>
      </c>
      <c r="EF180" s="18">
        <f>VLOOKUP(BP180,Fundamentus!A:U,5,FALSE)</f>
        <v>1.4570000000000001</v>
      </c>
      <c r="EG180" s="2">
        <f t="shared" ca="1" si="165"/>
        <v>1661930141.3864102</v>
      </c>
      <c r="EH180" s="17">
        <v>433098994.84529853</v>
      </c>
      <c r="EI180" s="17">
        <f t="shared" ca="1" si="166"/>
        <v>433098994.84529853</v>
      </c>
      <c r="EK180" s="16">
        <f t="shared" ca="1" si="153"/>
        <v>0</v>
      </c>
      <c r="EL180" s="32" t="str">
        <f>IF(VLOOKUP(BP180,Fundamentus!A:U,3,FALSE)&lt;15,"Bom",IF(VLOOKUP(BP180,Fundamentus!A:U,3,FALSE)&gt;15,"Ruim","n/a"))</f>
        <v>Bom</v>
      </c>
      <c r="EM180" s="28" t="str">
        <f>IF(VLOOKUP(BP180,Fundamentus!A:U,4,FALSE)&lt;1,"Baixo",IF(VLOOKUP(BP180,Fundamentus!A:U,4,FALSE)&lt;1.5,"Moderado",IF(VLOOKUP(BP180,Fundamentus!A:U,4,FALSE)&gt;1.5,"Alto","n/a")))</f>
        <v>Alto</v>
      </c>
      <c r="EN180" s="17" t="str">
        <f>IF(VLOOKUP(BP180,Fundamentus!A:U,8,FALSE)&lt;0,"Risco elevado",IF(VLOOKUP(BP180,Fundamentus!A:U,8,FALSE)&lt;1,"Saudável",IF(VLOOKUP(BP180,Fundamentus!A:U,8,FALSE)&lt;3,"Estável",IF(VLOOKUP(BP180,Fundamentus!A:U,8,FALSE)&gt;3,"Alerta","n/a"))))</f>
        <v>Estável</v>
      </c>
      <c r="EO180" s="28" t="str">
        <f t="shared" si="167"/>
        <v>Bom</v>
      </c>
      <c r="EP180" s="17" t="str">
        <f>IF(VLOOKUP(BP180,Fundamentus!A:U,12,FALSE)&lt;2,"Subvalorizada",IF(VLOOKUP(BP180,Fundamentus!A:U,12,FALSE)&lt;6,"Muita barata",IF(VLOOKUP(BP180,Fundamentus!A:U,12,FALSE)&lt;6,"Barata",IF(VLOOKUP(BP180,Fundamentus!A:U,12,FALSE)&lt;8,"Atrativa",IF(VLOOKUP(BP180,Fundamentus!A:U,12,FALSE)&gt;8,"Supervalorizada","n/a")))))</f>
        <v>Atrativa</v>
      </c>
      <c r="ER180" s="17" t="str">
        <f>IF(VLOOKUP(BP180,Fundamentus!A:U,17,FALSE)&lt;0.1,"Fraco retorno",IF(VLOOKUP(BP180,Fundamentus!A:U,17,FALSE)&gt;0.1,"Bom retorno","n/a"))</f>
        <v>Bom retorno</v>
      </c>
      <c r="ES180" s="17" t="str">
        <f>IF(VLOOKUP(BP180,Fundamentus!A:U,16,FALSE)&lt;0.1,"Ineficiente",IF(VLOOKUP(BP180,Fundamentus!A:U,16,FALSE)&gt;0.1,"Eficiente","n/a"))</f>
        <v>Eficiente</v>
      </c>
      <c r="ET180" s="33" t="str">
        <f>IF(VLOOKUP(BP180,Fundamentus!A:U,16,FALSE)&lt;0.1,"Oper. Ineficiente",IF(VLOOKUP(BP180,Fundamentus!A:U,16,FALSE)&gt;0.1,"Oper.Eficiente","n/a"))</f>
        <v>Oper.Eficiente</v>
      </c>
      <c r="EU180" s="34">
        <f>VLOOKUP(BP180,Fundamentus!A:U,14,FALSE)</f>
        <v>0.2606</v>
      </c>
      <c r="EV180" s="17" t="str">
        <f>IF(VLOOKUP(BP180,Fundamentus!A:U,21,FALSE)&lt;0,"Negativo",IF(VLOOKUP(BP180,Fundamentus!A:U,21,FALSE)&lt;0.05,"Fraco",IF(VLOOKUP(BP180,Fundamentus!A:U,21,FALSE)&lt;0.1,"Bom",IF(VLOOKUP(BP180,Fundamentus!A:U,21,FALSE)&gt;0.1,"Muito bom","n/a"))))</f>
        <v>Muito bom</v>
      </c>
      <c r="EX180" s="29" t="str">
        <f>IF(VLOOKUP(BP180,Fundamentus!A:U,15,FALSE)&gt;1,"Bom",IF(VLOOKUP(BP180,Fundamentus!A:U,15,FALSE)&lt;1,"Ruim","n/a"))</f>
        <v>Bom</v>
      </c>
      <c r="EY180" s="17" t="str">
        <f>IF(VLOOKUP(BP180,Fundamentus!A:U,20,FALSE)&lt;0.5,"Baixa",IF(VLOOKUP(BP180,Fundamentus!A:U,20,FALSE)&lt;1,"Moderada",IF(VLOOKUP(BP180,Fundamentus!A:U,20,FALSE)&lt;2,"Alerta",IF(VLOOKUP(BP180,Fundamentus!A:U,20,FALSE)&gt;2,"Alta","n/a"))))</f>
        <v>Baixa</v>
      </c>
      <c r="EZ180" s="10"/>
    </row>
    <row r="181" spans="1:156" s="2" customFormat="1" ht="11.25" x14ac:dyDescent="0.2">
      <c r="A181" s="4">
        <v>10.1</v>
      </c>
      <c r="B181" s="4">
        <v>9.7799999999999994</v>
      </c>
      <c r="C181" s="4">
        <v>10.25</v>
      </c>
      <c r="D181" s="4">
        <v>10.23</v>
      </c>
      <c r="E181" s="4">
        <v>9.51</v>
      </c>
      <c r="F181" s="4">
        <v>9.52</v>
      </c>
      <c r="G181" s="4">
        <v>9.2799999999999994</v>
      </c>
      <c r="H181" s="4">
        <v>9.11</v>
      </c>
      <c r="I181" s="4">
        <v>9.9499999999999993</v>
      </c>
      <c r="J181" s="4">
        <v>9.24</v>
      </c>
      <c r="K181" s="4">
        <v>9.09</v>
      </c>
      <c r="L181" s="4">
        <v>9.1300000000000008</v>
      </c>
      <c r="M181" s="4">
        <v>8.32</v>
      </c>
      <c r="N181" s="4">
        <v>8.24</v>
      </c>
      <c r="O181" s="4">
        <v>8</v>
      </c>
      <c r="P181" s="4">
        <v>7.74</v>
      </c>
      <c r="Q181" s="4">
        <v>7.74</v>
      </c>
      <c r="R181" s="4">
        <v>7.84</v>
      </c>
      <c r="S181" s="4">
        <v>7.72</v>
      </c>
      <c r="T181" s="4">
        <v>7.45</v>
      </c>
      <c r="U181" s="4">
        <v>7.3</v>
      </c>
      <c r="V181" s="4">
        <v>7</v>
      </c>
      <c r="W181" s="4">
        <v>6.95</v>
      </c>
      <c r="X181" s="4">
        <v>6.74</v>
      </c>
      <c r="Y181" s="4">
        <v>6.56</v>
      </c>
      <c r="Z181" s="4">
        <v>6.49</v>
      </c>
      <c r="AA181" s="4">
        <v>6.3</v>
      </c>
      <c r="AB181" s="4">
        <v>6.33</v>
      </c>
      <c r="AC181" s="4">
        <v>6.01</v>
      </c>
      <c r="AD181" s="4">
        <v>6.23</v>
      </c>
      <c r="AE181" s="4">
        <v>6.1</v>
      </c>
      <c r="AF181" s="4">
        <v>5.94</v>
      </c>
      <c r="AG181" s="4">
        <v>5.94</v>
      </c>
      <c r="AH181" s="4">
        <v>5.81</v>
      </c>
      <c r="AI181" s="4">
        <v>5.87</v>
      </c>
      <c r="AJ181" s="4">
        <v>5.86</v>
      </c>
      <c r="AK181" s="4">
        <v>5.94</v>
      </c>
      <c r="AL181" s="4">
        <v>5.99</v>
      </c>
      <c r="AM181" s="4">
        <v>5.86</v>
      </c>
      <c r="AN181" s="4">
        <v>5.86</v>
      </c>
      <c r="AO181" s="4">
        <v>6.41</v>
      </c>
      <c r="AP181" s="4">
        <v>7.14</v>
      </c>
      <c r="AQ181" s="4">
        <v>6.34</v>
      </c>
      <c r="AR181" s="4">
        <v>6.5</v>
      </c>
      <c r="AS181" s="4">
        <v>6.73</v>
      </c>
      <c r="AT181" s="4">
        <v>7.01</v>
      </c>
      <c r="AU181" s="4">
        <v>6.9849999999999994</v>
      </c>
      <c r="AV181" s="4">
        <v>6.4</v>
      </c>
      <c r="AW181" s="4">
        <v>7.14</v>
      </c>
      <c r="AX181" s="4">
        <v>7.4</v>
      </c>
      <c r="AY181" s="12">
        <v>7.5</v>
      </c>
      <c r="AZ181" s="12">
        <v>7.19</v>
      </c>
      <c r="BA181" s="12">
        <v>6.95</v>
      </c>
      <c r="BB181" s="15">
        <v>6.95</v>
      </c>
      <c r="BC181" s="52">
        <v>7.95</v>
      </c>
      <c r="BD181" s="52">
        <v>8.98</v>
      </c>
      <c r="BE181" s="52">
        <v>8.9499999999999993</v>
      </c>
      <c r="BF181" s="52">
        <v>8.6999999999999993</v>
      </c>
      <c r="BG181" s="67">
        <v>9.18</v>
      </c>
      <c r="BH181" s="52">
        <v>8.64</v>
      </c>
      <c r="BI181" s="52">
        <v>8.73</v>
      </c>
      <c r="BJ181" s="52">
        <v>8.6</v>
      </c>
      <c r="BK181" s="52">
        <v>8.09</v>
      </c>
      <c r="BL181" s="52">
        <v>7.5</v>
      </c>
      <c r="BM181" s="52">
        <v>7.64</v>
      </c>
      <c r="BN181" s="52">
        <v>7.35</v>
      </c>
      <c r="BO181" s="52" cm="1">
        <f t="array" aca="1" ref="BO181" ca="1">_FV(EC181,"Preço")</f>
        <v>7.35</v>
      </c>
      <c r="BP181" s="69" t="s">
        <v>177</v>
      </c>
      <c r="BQ181" s="36" cm="1">
        <f t="array" aca="1" ref="BQ181" ca="1">_FV(EC181,"Média de volume",TRUE)</f>
        <v>1239180</v>
      </c>
      <c r="BR181" s="36">
        <v>5400</v>
      </c>
      <c r="BS181" s="36" cm="1">
        <f t="array" aca="1" ref="BS181" ca="1">_FV(EC181,"Volume")</f>
        <v>5400</v>
      </c>
      <c r="BT181" s="24" cm="1">
        <f t="array" aca="1" ref="BT181" ca="1">_FV(EC181,"Beta")</f>
        <v>1.0098</v>
      </c>
      <c r="BU181" s="71" cm="1">
        <f t="array" aca="1" ref="BU181" ca="1">_FV(EC181,"Variação (%)",TRUE)</f>
        <v>4.0980000000000001E-3</v>
      </c>
      <c r="BW181" s="17" cm="1">
        <f t="array" aca="1" ref="BW181" ca="1">_FV(EC181,"Baixo")</f>
        <v>7.3</v>
      </c>
      <c r="BX181" s="17" cm="1">
        <f t="array" aca="1" ref="BX181" ca="1">_FV(EC181,"Alto")</f>
        <v>7.4</v>
      </c>
      <c r="BY181" s="24"/>
      <c r="BZ181" s="63">
        <f ca="1">SQRT(22.5*(BO181/VLOOKUP(BP181,Fundamentus!A:U,3,FALSE))*(BO181/VLOOKUP(BP181,Fundamentus!A:U,4,FALSE)))</f>
        <v>5.9416827050450447</v>
      </c>
      <c r="CB181" s="62">
        <f t="shared" ca="1" si="168"/>
        <v>0</v>
      </c>
      <c r="CC181" s="8"/>
      <c r="CD181" s="61">
        <f t="shared" si="169"/>
        <v>5.81</v>
      </c>
      <c r="CE181" s="61">
        <f t="shared" si="170"/>
        <v>10.25</v>
      </c>
      <c r="CF181" s="61">
        <f t="shared" si="171"/>
        <v>7.5799242424242426</v>
      </c>
      <c r="CG181" s="14"/>
      <c r="CH181" s="35">
        <f t="shared" si="154"/>
        <v>6.2147384991113821</v>
      </c>
      <c r="CI181" s="15">
        <f t="shared" si="172"/>
        <v>7.125</v>
      </c>
      <c r="CJ181" s="35">
        <f t="shared" si="155"/>
        <v>8.0352615008886179</v>
      </c>
      <c r="CL181" s="14"/>
      <c r="CM181" s="17">
        <f t="shared" si="156"/>
        <v>0.91666666666666341</v>
      </c>
      <c r="CN181" s="17">
        <f t="shared" si="157"/>
        <v>3.3633333333333315</v>
      </c>
      <c r="CO181" s="17">
        <f t="shared" si="158"/>
        <v>5.3566666666666638</v>
      </c>
      <c r="CP181" s="38">
        <f t="shared" si="173"/>
        <v>7.8033333333333319</v>
      </c>
      <c r="CQ181" s="17">
        <f t="shared" si="159"/>
        <v>9.7966666666666633</v>
      </c>
      <c r="CR181" s="17">
        <f t="shared" si="160"/>
        <v>12.243333333333332</v>
      </c>
      <c r="CS181" s="17">
        <f t="shared" si="161"/>
        <v>14.236666666666665</v>
      </c>
      <c r="CT181" s="2" cm="1">
        <f t="array" aca="1" ref="CT181" ca="1">MAX(_xlfn._xlws.FILTER(CM181:CS181,CM181:CS181&lt;BO181))</f>
        <v>5.3566666666666638</v>
      </c>
      <c r="CU181" s="2" cm="1">
        <f t="array" aca="1" ref="CU181" ca="1">MIN(_xlfn._xlws.FILTER($CM181:$CS181,$CM181:$CS181&gt;BO181))</f>
        <v>7.8033333333333319</v>
      </c>
      <c r="CV181" s="16">
        <f t="shared" ca="1" si="192"/>
        <v>0.456751711263224</v>
      </c>
      <c r="CW181" s="20">
        <f t="shared" ca="1" si="193"/>
        <v>-0.228375855631612</v>
      </c>
      <c r="CX181" s="20">
        <f t="shared" ca="1" si="194"/>
        <v>-0.15225057042107468</v>
      </c>
      <c r="CY181" s="20">
        <f t="shared" ca="1" si="195"/>
        <v>-9.1350342252644795E-2</v>
      </c>
      <c r="CZ181" s="20">
        <f t="shared" ca="1" si="196"/>
        <v>-5.0750190140358226E-2</v>
      </c>
      <c r="DA181" s="20">
        <f t="shared" ca="1" si="197"/>
        <v>-2.6867747721366117E-2</v>
      </c>
      <c r="DB181" s="20">
        <f t="shared" ca="1" si="198"/>
        <v>-1.3840960947370425E-2</v>
      </c>
      <c r="DC181" s="20">
        <f t="shared" ca="1" si="199"/>
        <v>-7.0269494040496004E-3</v>
      </c>
      <c r="DD181" s="21">
        <f t="shared" ca="1" si="200"/>
        <v>7.0269494040496004E-3</v>
      </c>
      <c r="DE181" s="21">
        <f t="shared" ca="1" si="201"/>
        <v>1.3840960947370425E-2</v>
      </c>
      <c r="DF181" s="21">
        <f t="shared" ca="1" si="202"/>
        <v>2.6867747721366117E-2</v>
      </c>
      <c r="DG181" s="21">
        <f t="shared" ca="1" si="203"/>
        <v>5.0750190140358226E-2</v>
      </c>
      <c r="DH181" s="21">
        <f t="shared" ca="1" si="204"/>
        <v>9.1350342252644795E-2</v>
      </c>
      <c r="DI181" s="21">
        <f t="shared" ca="1" si="205"/>
        <v>0.15225057042107468</v>
      </c>
      <c r="DJ181" s="21">
        <f t="shared" ca="1" si="206"/>
        <v>0.228375855631612</v>
      </c>
      <c r="DL181" s="16" cm="1">
        <f t="array" aca="1" ref="DL181" ca="1">MAX(_xlfn._xlws.FILTER(CW181:DJ181,CW181:DJ181&lt;BU181))</f>
        <v>-7.0269494040496004E-3</v>
      </c>
      <c r="DM181" s="16" cm="1">
        <f t="array" aca="1" ref="DM181" ca="1">MIN(_xlfn._xlws.FILTER(CW181:DJ181,CW181:DJ181&gt;BU181))</f>
        <v>7.0269494040496004E-3</v>
      </c>
      <c r="DN181" s="2" cm="1">
        <f t="array" aca="1" ref="DN181" ca="1">_FV(EC181,"Fechamento anterior",TRUE)</f>
        <v>7.32</v>
      </c>
      <c r="DO181" s="28">
        <f t="shared" ca="1" si="162"/>
        <v>0.79161734488765279</v>
      </c>
      <c r="DP181" s="15">
        <f t="shared" ca="1" si="207"/>
        <v>7.2685627303623574</v>
      </c>
      <c r="DQ181" s="15">
        <f t="shared" ca="1" si="208"/>
        <v>7.3714372696376431</v>
      </c>
      <c r="DR181" s="9"/>
      <c r="DS181" s="9"/>
      <c r="DT181" s="9"/>
      <c r="DU181" s="89">
        <v>2.2965651338931029E-2</v>
      </c>
      <c r="DV181" s="89">
        <f t="shared" ca="1" si="163"/>
        <v>1.4053898808099201E-2</v>
      </c>
      <c r="DW181" s="72">
        <f t="shared" ca="1" si="164"/>
        <v>0.2471817162214919</v>
      </c>
      <c r="DX181" s="37"/>
      <c r="DY181" s="35">
        <f t="shared" si="174"/>
        <v>0.45513075044430912</v>
      </c>
      <c r="DZ181" s="56"/>
      <c r="EA181" s="56"/>
      <c r="EC181" s="2" t="e" vm="183">
        <v>#VALUE!</v>
      </c>
      <c r="EE181" s="10" cm="1">
        <f t="array" aca="1" ref="EE181" ca="1">_FV(EC181,"Ações em circulação",TRUE)</f>
        <v>683062200</v>
      </c>
      <c r="EF181" s="18">
        <f>VLOOKUP(BP181,Fundamentus!A:U,5,FALSE)</f>
        <v>1.222</v>
      </c>
      <c r="EG181" s="2">
        <f t="shared" ca="1" si="165"/>
        <v>4108434672.667758</v>
      </c>
      <c r="EH181" s="17">
        <v>187755464.54091653</v>
      </c>
      <c r="EI181" s="17">
        <f t="shared" ca="1" si="166"/>
        <v>187755464.54091653</v>
      </c>
      <c r="EK181" s="16">
        <f t="shared" ca="1" si="153"/>
        <v>0</v>
      </c>
      <c r="EL181" s="45" t="str">
        <f>IF(VLOOKUP(BP181,Fundamentus!A:U,3,FALSE)&lt;15,"Bom",IF(VLOOKUP(BP181,Fundamentus!A:U,3,FALSE)&gt;15,"Ruim","n/a"))</f>
        <v>Ruim</v>
      </c>
      <c r="EM181" s="46" t="str">
        <f>IF(VLOOKUP(BP181,Fundamentus!A:U,4,FALSE)&lt;1,"Baixo",IF(VLOOKUP(BP181,Fundamentus!A:U,4,FALSE)&lt;1.5,"Moderado",IF(VLOOKUP(BP181,Fundamentus!A:U,4,FALSE)&gt;1.5,"Alto","n/a")))</f>
        <v>Moderado</v>
      </c>
      <c r="EN181" s="30" t="str">
        <f>IF(VLOOKUP(BP181,Fundamentus!A:U,8,FALSE)&lt;0,"Risco elevado",IF(VLOOKUP(BP181,Fundamentus!A:U,8,FALSE)&lt;1,"Saudável",IF(VLOOKUP(BP181,Fundamentus!A:U,8,FALSE)&lt;3,"Estável",IF(VLOOKUP(BP181,Fundamentus!A:U,8,FALSE)&gt;3,"Alerta","n/a"))))</f>
        <v>Alerta</v>
      </c>
      <c r="EO181" s="46" t="str">
        <f t="shared" si="167"/>
        <v>Bom</v>
      </c>
      <c r="EP181" s="30" t="str">
        <f>IF(VLOOKUP(BP181,Fundamentus!A:U,12,FALSE)&lt;2,"Subvalorizada",IF(VLOOKUP(BP181,Fundamentus!A:U,12,FALSE)&lt;6,"Muita barata",IF(VLOOKUP(BP181,Fundamentus!A:U,12,FALSE)&lt;6,"Barata",IF(VLOOKUP(BP181,Fundamentus!A:U,12,FALSE)&lt;8,"Atrativa",IF(VLOOKUP(BP181,Fundamentus!A:U,12,FALSE)&gt;8,"Supervalorizada","n/a")))))</f>
        <v>Supervalorizada</v>
      </c>
      <c r="ER181" s="30" t="str">
        <f>IF(VLOOKUP(BP181,Fundamentus!A:U,17,FALSE)&lt;0.1,"Fraco retorno",IF(VLOOKUP(BP181,Fundamentus!A:U,17,FALSE)&gt;0.1,"Bom retorno","n/a"))</f>
        <v>Fraco retorno</v>
      </c>
      <c r="ES181" s="30" t="str">
        <f>IF(VLOOKUP(BP181,Fundamentus!A:U,16,FALSE)&lt;0.1,"Ineficiente",IF(VLOOKUP(BP181,Fundamentus!A:U,16,FALSE)&gt;0.1,"Eficiente","n/a"))</f>
        <v>Ineficiente</v>
      </c>
      <c r="ET181" s="49" t="str">
        <f>IF(VLOOKUP(BP181,Fundamentus!A:U,16,FALSE)&lt;0.1,"Oper. Ineficiente",IF(VLOOKUP(BP181,Fundamentus!A:U,16,FALSE)&gt;0.1,"Oper.Eficiente","n/a"))</f>
        <v>Oper. Ineficiente</v>
      </c>
      <c r="EU181" s="48">
        <f>VLOOKUP(BP181,Fundamentus!A:U,14,FALSE)</f>
        <v>4.5699999999999998E-2</v>
      </c>
      <c r="EV181" s="30" t="str">
        <f>IF(VLOOKUP(BP181,Fundamentus!A:U,21,FALSE)&lt;0,"Negativo",IF(VLOOKUP(BP181,Fundamentus!A:U,21,FALSE)&lt;0.05,"Fraco",IF(VLOOKUP(BP181,Fundamentus!A:U,21,FALSE)&lt;0.1,"Bom",IF(VLOOKUP(BP181,Fundamentus!A:U,21,FALSE)&gt;0.1,"Muito bom","n/a"))))</f>
        <v>Fraco</v>
      </c>
      <c r="EX181" s="31" t="str">
        <f>IF(VLOOKUP(BP181,Fundamentus!A:U,15,FALSE)&gt;1,"Bom",IF(VLOOKUP(BP181,Fundamentus!A:U,15,FALSE)&lt;1,"Ruim","n/a"))</f>
        <v>Bom</v>
      </c>
      <c r="EY181" s="30" t="str">
        <f>IF(VLOOKUP(BP181,Fundamentus!A:U,20,FALSE)&lt;0.5,"Baixa",IF(VLOOKUP(BP181,Fundamentus!A:U,20,FALSE)&lt;1,"Moderada",IF(VLOOKUP(BP181,Fundamentus!A:U,20,FALSE)&lt;2,"Alerta",IF(VLOOKUP(BP181,Fundamentus!A:U,20,FALSE)&gt;2,"Alta","n/a"))))</f>
        <v>Baixa</v>
      </c>
      <c r="EZ181" s="10"/>
    </row>
    <row r="182" spans="1:156" s="2" customFormat="1" ht="11.25" x14ac:dyDescent="0.2">
      <c r="A182" s="4">
        <v>3.89</v>
      </c>
      <c r="B182" s="4">
        <v>4</v>
      </c>
      <c r="C182" s="4">
        <v>4.26</v>
      </c>
      <c r="D182" s="4">
        <v>3.95</v>
      </c>
      <c r="E182" s="4">
        <v>3.81</v>
      </c>
      <c r="F182" s="4">
        <v>3.76</v>
      </c>
      <c r="G182" s="4">
        <v>3.36</v>
      </c>
      <c r="H182" s="4">
        <v>3.42</v>
      </c>
      <c r="I182" s="4">
        <v>3.57</v>
      </c>
      <c r="J182" s="4">
        <v>3.52</v>
      </c>
      <c r="K182" s="4">
        <v>3.71</v>
      </c>
      <c r="L182" s="4">
        <v>3.54</v>
      </c>
      <c r="M182" s="4">
        <v>3.44</v>
      </c>
      <c r="N182" s="4">
        <v>3.44</v>
      </c>
      <c r="O182" s="4">
        <v>4.05</v>
      </c>
      <c r="P182" s="4">
        <v>3.86</v>
      </c>
      <c r="Q182" s="4">
        <v>3.89</v>
      </c>
      <c r="R182" s="4">
        <v>3.69</v>
      </c>
      <c r="S182" s="4">
        <v>3.82</v>
      </c>
      <c r="T182" s="4">
        <v>4.07</v>
      </c>
      <c r="U182" s="4">
        <v>3.9</v>
      </c>
      <c r="V182" s="4">
        <v>4.04</v>
      </c>
      <c r="W182" s="4">
        <v>3.82</v>
      </c>
      <c r="X182" s="4">
        <v>3.73</v>
      </c>
      <c r="Y182" s="4">
        <v>3.74</v>
      </c>
      <c r="Z182" s="4">
        <v>3.61</v>
      </c>
      <c r="AA182" s="4">
        <v>3.55</v>
      </c>
      <c r="AB182" s="4">
        <v>3.44</v>
      </c>
      <c r="AC182" s="4">
        <v>3.4</v>
      </c>
      <c r="AD182" s="4">
        <v>3.23</v>
      </c>
      <c r="AE182" s="4">
        <v>3</v>
      </c>
      <c r="AF182" s="4">
        <v>2.8</v>
      </c>
      <c r="AG182" s="4">
        <v>2.48</v>
      </c>
      <c r="AH182" s="4">
        <v>2.52</v>
      </c>
      <c r="AI182" s="4">
        <v>2.2999999999999998</v>
      </c>
      <c r="AJ182" s="4">
        <v>2.2999999999999998</v>
      </c>
      <c r="AK182" s="4">
        <v>2.33</v>
      </c>
      <c r="AL182" s="4">
        <v>2.2999999999999998</v>
      </c>
      <c r="AM182" s="4">
        <v>2.23</v>
      </c>
      <c r="AN182" s="4">
        <v>2.2200000000000002</v>
      </c>
      <c r="AO182" s="4">
        <v>2.2000000000000002</v>
      </c>
      <c r="AP182" s="4">
        <v>2.2599999999999998</v>
      </c>
      <c r="AQ182" s="4">
        <v>2.19</v>
      </c>
      <c r="AR182" s="4">
        <v>2.2000000000000002</v>
      </c>
      <c r="AS182" s="4">
        <v>2.25</v>
      </c>
      <c r="AT182" s="4">
        <v>2.4500000000000002</v>
      </c>
      <c r="AU182" s="4">
        <v>2.665</v>
      </c>
      <c r="AV182" s="4">
        <v>3.03</v>
      </c>
      <c r="AW182" s="4">
        <v>2.78</v>
      </c>
      <c r="AX182" s="4">
        <v>2.77</v>
      </c>
      <c r="AY182" s="12">
        <v>2.93</v>
      </c>
      <c r="AZ182" s="12">
        <v>2.95</v>
      </c>
      <c r="BA182" s="12">
        <v>2.75</v>
      </c>
      <c r="BB182" s="15">
        <v>3.1</v>
      </c>
      <c r="BC182" s="52">
        <v>3.07</v>
      </c>
      <c r="BD182" s="52">
        <v>3.04</v>
      </c>
      <c r="BE182" s="52">
        <v>3.4</v>
      </c>
      <c r="BF182" s="52">
        <v>3.21</v>
      </c>
      <c r="BG182" s="67">
        <v>3.86</v>
      </c>
      <c r="BH182" s="52">
        <v>3.71</v>
      </c>
      <c r="BI182" s="52">
        <v>3.6</v>
      </c>
      <c r="BJ182" s="52">
        <v>3.71</v>
      </c>
      <c r="BK182" s="52">
        <v>3.5</v>
      </c>
      <c r="BL182" s="52">
        <v>3.6</v>
      </c>
      <c r="BM182" s="52">
        <v>3.57</v>
      </c>
      <c r="BN182" s="52">
        <v>3.45</v>
      </c>
      <c r="BO182" s="52" cm="1">
        <f t="array" aca="1" ref="BO182" ca="1">_FV(EC182,"Preço")</f>
        <v>3.45</v>
      </c>
      <c r="BP182" s="69" t="s">
        <v>178</v>
      </c>
      <c r="BQ182" s="36" cm="1">
        <f t="array" aca="1" ref="BQ182" ca="1">_FV(EC182,"Média de volume",TRUE)</f>
        <v>16660</v>
      </c>
      <c r="BR182" s="36">
        <v>14400</v>
      </c>
      <c r="BS182" s="36" cm="1">
        <f t="array" aca="1" ref="BS182" ca="1">_FV(EC182,"Volume")</f>
        <v>14400</v>
      </c>
      <c r="BT182" s="24" cm="1">
        <f t="array" aca="1" ref="BT182" ca="1">_FV(EC182,"Beta")</f>
        <v>1.5021</v>
      </c>
      <c r="BU182" s="71" cm="1">
        <f t="array" aca="1" ref="BU182" ca="1">_FV(EC182,"Variação (%)",TRUE)</f>
        <v>-3.8997000000000004E-2</v>
      </c>
      <c r="BW182" s="17" cm="1">
        <f t="array" aca="1" ref="BW182" ca="1">_FV(EC182,"Baixo")</f>
        <v>3.45</v>
      </c>
      <c r="BX182" s="17" cm="1">
        <f t="array" aca="1" ref="BX182" ca="1">_FV(EC182,"Alto")</f>
        <v>3.68</v>
      </c>
      <c r="BY182" s="24"/>
      <c r="BZ182" s="63">
        <f ca="1">SQRT(22.5*(BO182/VLOOKUP(BP182,Fundamentus!A:U,3,FALSE))*(BO182/VLOOKUP(BP182,Fundamentus!A:U,4,FALSE)))</f>
        <v>10.29455867275132</v>
      </c>
      <c r="CB182" s="62">
        <f t="shared" ca="1" si="168"/>
        <v>0</v>
      </c>
      <c r="CC182" s="8"/>
      <c r="CD182" s="61">
        <f t="shared" si="169"/>
        <v>2.19</v>
      </c>
      <c r="CE182" s="61">
        <f t="shared" si="170"/>
        <v>4.26</v>
      </c>
      <c r="CF182" s="61">
        <f t="shared" si="171"/>
        <v>3.2459848484848473</v>
      </c>
      <c r="CG182" s="14"/>
      <c r="CH182" s="35">
        <f t="shared" si="154"/>
        <v>3.3067417603587561</v>
      </c>
      <c r="CI182" s="15">
        <f t="shared" si="172"/>
        <v>3.4850000000000136</v>
      </c>
      <c r="CJ182" s="35">
        <f t="shared" si="155"/>
        <v>3.6632582396412712</v>
      </c>
      <c r="CL182" s="14"/>
      <c r="CM182" s="17">
        <f t="shared" si="156"/>
        <v>0.26999999999999913</v>
      </c>
      <c r="CN182" s="17">
        <f t="shared" si="157"/>
        <v>1.2299999999999995</v>
      </c>
      <c r="CO182" s="17">
        <f t="shared" si="158"/>
        <v>2.339999999999999</v>
      </c>
      <c r="CP182" s="38">
        <f t="shared" si="173"/>
        <v>3.2999999999999994</v>
      </c>
      <c r="CQ182" s="17">
        <f t="shared" si="159"/>
        <v>4.4099999999999984</v>
      </c>
      <c r="CR182" s="17">
        <f t="shared" si="160"/>
        <v>5.3699999999999992</v>
      </c>
      <c r="CS182" s="17">
        <f t="shared" si="161"/>
        <v>6.4799999999999986</v>
      </c>
      <c r="CT182" s="2" cm="1">
        <f t="array" aca="1" ref="CT182" ca="1">MAX(_xlfn._xlws.FILTER(CM182:CS182,CM182:CS182&lt;BO182))</f>
        <v>3.2999999999999994</v>
      </c>
      <c r="CU182" s="2" cm="1">
        <f t="array" aca="1" ref="CU182" ca="1">MIN(_xlfn._xlws.FILTER($CM182:$CS182,$CM182:$CS182&gt;BO182))</f>
        <v>4.4099999999999984</v>
      </c>
      <c r="CV182" s="16">
        <f t="shared" ca="1" si="192"/>
        <v>0.3363636363636362</v>
      </c>
      <c r="CW182" s="20">
        <f t="shared" ca="1" si="193"/>
        <v>-0.1681818181818181</v>
      </c>
      <c r="CX182" s="20">
        <f t="shared" ca="1" si="194"/>
        <v>-0.11212121212121207</v>
      </c>
      <c r="CY182" s="20">
        <f t="shared" ca="1" si="195"/>
        <v>-6.7272727272727234E-2</v>
      </c>
      <c r="CZ182" s="20">
        <f t="shared" ca="1" si="196"/>
        <v>-3.7373737373737358E-2</v>
      </c>
      <c r="DA182" s="20">
        <f t="shared" ca="1" si="197"/>
        <v>-1.9786096256684482E-2</v>
      </c>
      <c r="DB182" s="20">
        <f t="shared" ca="1" si="198"/>
        <v>-1.0192837465564734E-2</v>
      </c>
      <c r="DC182" s="20">
        <f t="shared" ca="1" si="199"/>
        <v>-5.1748251748251727E-3</v>
      </c>
      <c r="DD182" s="21">
        <f t="shared" ca="1" si="200"/>
        <v>5.1748251748251727E-3</v>
      </c>
      <c r="DE182" s="21">
        <f t="shared" ca="1" si="201"/>
        <v>1.0192837465564734E-2</v>
      </c>
      <c r="DF182" s="21">
        <f t="shared" ca="1" si="202"/>
        <v>1.9786096256684482E-2</v>
      </c>
      <c r="DG182" s="21">
        <f t="shared" ca="1" si="203"/>
        <v>3.7373737373737358E-2</v>
      </c>
      <c r="DH182" s="21">
        <f t="shared" ca="1" si="204"/>
        <v>6.7272727272727234E-2</v>
      </c>
      <c r="DI182" s="21">
        <f t="shared" ca="1" si="205"/>
        <v>0.11212121212121207</v>
      </c>
      <c r="DJ182" s="21">
        <f t="shared" ca="1" si="206"/>
        <v>0.1681818181818181</v>
      </c>
      <c r="DL182" s="16" cm="1">
        <f t="array" aca="1" ref="DL182" ca="1">MAX(_xlfn._xlws.FILTER(CW182:DJ182,CW182:DJ182&lt;BU182))</f>
        <v>-6.7272727272727234E-2</v>
      </c>
      <c r="DM182" s="16" cm="1">
        <f t="array" aca="1" ref="DM182" ca="1">MIN(_xlfn._xlws.FILTER(CW182:DJ182,CW182:DJ182&gt;BU182))</f>
        <v>-3.7373737373737358E-2</v>
      </c>
      <c r="DN182" s="2" cm="1">
        <f t="array" aca="1" ref="DN182" ca="1">_FV(EC182,"Fechamento anterior",TRUE)</f>
        <v>3.59</v>
      </c>
      <c r="DO182" s="28">
        <f t="shared" ca="1" si="162"/>
        <v>0.94570127230294443</v>
      </c>
      <c r="DP182" s="15">
        <f t="shared" ca="1" si="207"/>
        <v>3.3484909090909092</v>
      </c>
      <c r="DQ182" s="15">
        <f t="shared" ca="1" si="208"/>
        <v>3.4558282828282829</v>
      </c>
      <c r="DR182" s="9"/>
      <c r="DS182" s="9"/>
      <c r="DT182" s="9"/>
      <c r="DU182" s="89">
        <v>9.8757549152632563E-3</v>
      </c>
      <c r="DV182" s="89">
        <f t="shared" ca="1" si="163"/>
        <v>2.9898989898989876E-2</v>
      </c>
      <c r="DW182" s="72">
        <f t="shared" ca="1" si="164"/>
        <v>-0.19634436012860065</v>
      </c>
      <c r="DX182" s="37"/>
      <c r="DY182" s="35">
        <f t="shared" si="174"/>
        <v>8.9129119820628711E-2</v>
      </c>
      <c r="DZ182" s="56"/>
      <c r="EA182" s="56"/>
      <c r="EC182" s="2" t="e" vm="184">
        <v>#VALUE!</v>
      </c>
      <c r="EE182" s="10" cm="1">
        <f t="array" aca="1" ref="EE182" ca="1">_FV(EC182,"Ações em circulação",TRUE)</f>
        <v>63461460</v>
      </c>
      <c r="EF182" s="18">
        <f>VLOOKUP(BP182,Fundamentus!A:U,5,FALSE)</f>
        <v>0.27500000000000002</v>
      </c>
      <c r="EG182" s="2">
        <f t="shared" ca="1" si="165"/>
        <v>796152861.81818175</v>
      </c>
      <c r="EH182" s="17">
        <v>30333424.035272725</v>
      </c>
      <c r="EI182" s="17">
        <f t="shared" ca="1" si="166"/>
        <v>30333424.035272725</v>
      </c>
      <c r="EK182" s="16">
        <f t="shared" ca="1" si="153"/>
        <v>0</v>
      </c>
      <c r="EL182" s="32" t="str">
        <f>IF(VLOOKUP(BP182,Fundamentus!A:U,3,FALSE)&lt;15,"Bom",IF(VLOOKUP(BP182,Fundamentus!A:U,3,FALSE)&gt;15,"Ruim","n/a"))</f>
        <v>Bom</v>
      </c>
      <c r="EM182" s="28" t="str">
        <f>IF(VLOOKUP(BP182,Fundamentus!A:U,4,FALSE)&lt;1,"Baixo",IF(VLOOKUP(BP182,Fundamentus!A:U,4,FALSE)&lt;1.5,"Moderado",IF(VLOOKUP(BP182,Fundamentus!A:U,4,FALSE)&gt;1.5,"Alto","n/a")))</f>
        <v>Baixo</v>
      </c>
      <c r="EN182" s="17" t="str">
        <f>IF(VLOOKUP(BP182,Fundamentus!A:U,8,FALSE)&lt;0,"Risco elevado",IF(VLOOKUP(BP182,Fundamentus!A:U,8,FALSE)&lt;1,"Saudável",IF(VLOOKUP(BP182,Fundamentus!A:U,8,FALSE)&lt;3,"Estável",IF(VLOOKUP(BP182,Fundamentus!A:U,8,FALSE)&gt;3,"Alerta","n/a"))))</f>
        <v>Saudável</v>
      </c>
      <c r="EO182" s="28" t="str">
        <f t="shared" si="167"/>
        <v>Ruim</v>
      </c>
      <c r="EP182" s="17" t="str">
        <f>IF(VLOOKUP(BP182,Fundamentus!A:U,12,FALSE)&lt;2,"Subvalorizada",IF(VLOOKUP(BP182,Fundamentus!A:U,12,FALSE)&lt;6,"Muita barata",IF(VLOOKUP(BP182,Fundamentus!A:U,12,FALSE)&lt;6,"Barata",IF(VLOOKUP(BP182,Fundamentus!A:U,12,FALSE)&lt;8,"Atrativa",IF(VLOOKUP(BP182,Fundamentus!A:U,12,FALSE)&gt;8,"Supervalorizada","n/a")))))</f>
        <v>Subvalorizada</v>
      </c>
      <c r="ER182" s="17" t="str">
        <f>IF(VLOOKUP(BP182,Fundamentus!A:U,17,FALSE)&lt;0.1,"Fraco retorno",IF(VLOOKUP(BP182,Fundamentus!A:U,17,FALSE)&gt;0.1,"Bom retorno","n/a"))</f>
        <v>Fraco retorno</v>
      </c>
      <c r="ES182" s="17" t="str">
        <f>IF(VLOOKUP(BP182,Fundamentus!A:U,16,FALSE)&lt;0.1,"Ineficiente",IF(VLOOKUP(BP182,Fundamentus!A:U,16,FALSE)&gt;0.1,"Eficiente","n/a"))</f>
        <v>Eficiente</v>
      </c>
      <c r="ET182" s="33" t="str">
        <f>IF(VLOOKUP(BP182,Fundamentus!A:U,16,FALSE)&lt;0.1,"Oper. Ineficiente",IF(VLOOKUP(BP182,Fundamentus!A:U,16,FALSE)&gt;0.1,"Oper.Eficiente","n/a"))</f>
        <v>Oper.Eficiente</v>
      </c>
      <c r="EU182" s="34">
        <f>VLOOKUP(BP182,Fundamentus!A:U,14,FALSE)</f>
        <v>3.8100000000000002E-2</v>
      </c>
      <c r="EV182" s="17" t="str">
        <f>IF(VLOOKUP(BP182,Fundamentus!A:U,21,FALSE)&lt;0,"Negativo",IF(VLOOKUP(BP182,Fundamentus!A:U,21,FALSE)&lt;0.05,"Fraco",IF(VLOOKUP(BP182,Fundamentus!A:U,21,FALSE)&lt;0.1,"Bom",IF(VLOOKUP(BP182,Fundamentus!A:U,21,FALSE)&gt;0.1,"Muito bom","n/a"))))</f>
        <v>Negativo</v>
      </c>
      <c r="EX182" s="29" t="str">
        <f>IF(VLOOKUP(BP182,Fundamentus!A:U,15,FALSE)&gt;1,"Bom",IF(VLOOKUP(BP182,Fundamentus!A:U,15,FALSE)&lt;1,"Ruim","n/a"))</f>
        <v>Bom</v>
      </c>
      <c r="EY182" s="17" t="str">
        <f>IF(VLOOKUP(BP182,Fundamentus!A:U,20,FALSE)&lt;0.5,"Baixa",IF(VLOOKUP(BP182,Fundamentus!A:U,20,FALSE)&lt;1,"Moderada",IF(VLOOKUP(BP182,Fundamentus!A:U,20,FALSE)&lt;2,"Alerta",IF(VLOOKUP(BP182,Fundamentus!A:U,20,FALSE)&gt;2,"Alta","n/a"))))</f>
        <v>Baixa</v>
      </c>
      <c r="EZ182" s="10"/>
    </row>
    <row r="183" spans="1:156" s="2" customFormat="1" ht="11.25" x14ac:dyDescent="0.2">
      <c r="A183" s="4">
        <v>6.24</v>
      </c>
      <c r="B183" s="4">
        <v>6.24</v>
      </c>
      <c r="C183" s="4">
        <v>6.87</v>
      </c>
      <c r="D183" s="4">
        <v>6.55</v>
      </c>
      <c r="E183" s="4">
        <v>6.19</v>
      </c>
      <c r="F183" s="4">
        <v>6.1</v>
      </c>
      <c r="G183" s="4">
        <v>6.16</v>
      </c>
      <c r="H183" s="4">
        <v>6.45</v>
      </c>
      <c r="I183" s="4">
        <v>6.63</v>
      </c>
      <c r="J183" s="4">
        <v>6.86</v>
      </c>
      <c r="K183" s="4">
        <v>6.82</v>
      </c>
      <c r="L183" s="4">
        <v>6.55</v>
      </c>
      <c r="M183" s="4">
        <v>6.32</v>
      </c>
      <c r="N183" s="4">
        <v>6.47</v>
      </c>
      <c r="O183" s="4">
        <v>7.51</v>
      </c>
      <c r="P183" s="4">
        <v>7.42</v>
      </c>
      <c r="Q183" s="4">
        <v>7.95</v>
      </c>
      <c r="R183" s="4">
        <v>7.49</v>
      </c>
      <c r="S183" s="4">
        <v>7</v>
      </c>
      <c r="T183" s="4">
        <v>6.91</v>
      </c>
      <c r="U183" s="4">
        <v>6.53</v>
      </c>
      <c r="V183" s="4">
        <v>6.49</v>
      </c>
      <c r="W183" s="4">
        <v>6.38</v>
      </c>
      <c r="X183" s="4">
        <v>5.54</v>
      </c>
      <c r="Y183" s="4">
        <v>5.49</v>
      </c>
      <c r="Z183" s="4">
        <v>5.49</v>
      </c>
      <c r="AA183" s="4">
        <v>5.76</v>
      </c>
      <c r="AB183" s="4">
        <v>5.38</v>
      </c>
      <c r="AC183" s="4">
        <v>5.71</v>
      </c>
      <c r="AD183" s="4">
        <v>5.64</v>
      </c>
      <c r="AE183" s="4">
        <v>5.83</v>
      </c>
      <c r="AF183" s="4">
        <v>5.91</v>
      </c>
      <c r="AG183" s="4">
        <v>5.73</v>
      </c>
      <c r="AH183" s="4">
        <v>5.44</v>
      </c>
      <c r="AI183" s="4">
        <v>5.18</v>
      </c>
      <c r="AJ183" s="4">
        <v>4.76</v>
      </c>
      <c r="AK183" s="4">
        <v>5.08</v>
      </c>
      <c r="AL183" s="4">
        <v>5.0199999999999996</v>
      </c>
      <c r="AM183" s="4">
        <v>4.4400000000000004</v>
      </c>
      <c r="AN183" s="4">
        <v>4.84</v>
      </c>
      <c r="AO183" s="4">
        <v>4.4400000000000004</v>
      </c>
      <c r="AP183" s="4">
        <v>4.5199999999999996</v>
      </c>
      <c r="AQ183" s="4">
        <v>4.55</v>
      </c>
      <c r="AR183" s="4">
        <v>4.42</v>
      </c>
      <c r="AS183" s="4">
        <v>4.79</v>
      </c>
      <c r="AT183" s="4">
        <v>5.37</v>
      </c>
      <c r="AU183" s="4">
        <v>5.9749999999999996</v>
      </c>
      <c r="AV183" s="4">
        <v>6.21</v>
      </c>
      <c r="AW183" s="4">
        <v>6.47</v>
      </c>
      <c r="AX183" s="4">
        <v>6.97</v>
      </c>
      <c r="AY183" s="12">
        <v>7.41</v>
      </c>
      <c r="AZ183" s="12">
        <v>7.83</v>
      </c>
      <c r="BA183" s="12">
        <v>5.91</v>
      </c>
      <c r="BB183" s="15">
        <v>5.16</v>
      </c>
      <c r="BC183" s="52">
        <v>5.14</v>
      </c>
      <c r="BD183" s="52">
        <v>5.17</v>
      </c>
      <c r="BE183" s="52">
        <v>5.04</v>
      </c>
      <c r="BF183" s="52">
        <v>4.9000000000000004</v>
      </c>
      <c r="BG183" s="67">
        <v>4.8600000000000003</v>
      </c>
      <c r="BH183" s="52">
        <v>4.87</v>
      </c>
      <c r="BI183" s="52">
        <v>4.82</v>
      </c>
      <c r="BJ183" s="52">
        <v>5.17</v>
      </c>
      <c r="BK183" s="52">
        <v>5.37</v>
      </c>
      <c r="BL183" s="52">
        <v>5.12</v>
      </c>
      <c r="BM183" s="52">
        <v>5.09</v>
      </c>
      <c r="BN183" s="52">
        <v>4.9400000000000004</v>
      </c>
      <c r="BO183" s="52" cm="1">
        <f t="array" aca="1" ref="BO183" ca="1">_FV(EC183,"Preço")</f>
        <v>4.9400000000000004</v>
      </c>
      <c r="BP183" s="69" t="s">
        <v>179</v>
      </c>
      <c r="BQ183" s="36" cm="1">
        <f t="array" aca="1" ref="BQ183" ca="1">_FV(EC183,"Média de volume",TRUE)</f>
        <v>10340010</v>
      </c>
      <c r="BR183" s="36">
        <v>10062900</v>
      </c>
      <c r="BS183" s="36" cm="1">
        <f t="array" aca="1" ref="BS183" ca="1">_FV(EC183,"Volume")</f>
        <v>10062900</v>
      </c>
      <c r="BT183" s="24" cm="1">
        <f t="array" aca="1" ref="BT183" ca="1">_FV(EC183,"Beta")</f>
        <v>0.77910000000000001</v>
      </c>
      <c r="BU183" s="71" cm="1">
        <f t="array" aca="1" ref="BU183" ca="1">_FV(EC183,"Variação (%)",TRUE)</f>
        <v>0</v>
      </c>
      <c r="BW183" s="17" cm="1">
        <f t="array" aca="1" ref="BW183" ca="1">_FV(EC183,"Baixo")</f>
        <v>4.91</v>
      </c>
      <c r="BX183" s="17" cm="1">
        <f t="array" aca="1" ref="BX183" ca="1">_FV(EC183,"Alto")</f>
        <v>5.09</v>
      </c>
      <c r="BY183" s="24"/>
      <c r="BZ183" s="63">
        <f ca="1">SQRT(22.5*(BO183/VLOOKUP(BP183,Fundamentus!A:U,3,FALSE))*(BO183/VLOOKUP(BP183,Fundamentus!A:U,4,FALSE)))</f>
        <v>3.9742674078487998</v>
      </c>
      <c r="CB183" s="62">
        <f t="shared" ca="1" si="168"/>
        <v>0</v>
      </c>
      <c r="CC183" s="8"/>
      <c r="CD183" s="61">
        <f t="shared" si="169"/>
        <v>4.42</v>
      </c>
      <c r="CE183" s="61">
        <f t="shared" si="170"/>
        <v>7.95</v>
      </c>
      <c r="CF183" s="61">
        <f t="shared" si="171"/>
        <v>5.8467424242424277</v>
      </c>
      <c r="CG183" s="14"/>
      <c r="CH183" s="35">
        <f t="shared" si="154"/>
        <v>4.5218921072676554</v>
      </c>
      <c r="CI183" s="15">
        <f t="shared" si="172"/>
        <v>4.7999999999999545</v>
      </c>
      <c r="CJ183" s="35">
        <f t="shared" si="155"/>
        <v>5.0781078927322536</v>
      </c>
      <c r="CL183" s="14"/>
      <c r="CM183" s="17">
        <f t="shared" si="156"/>
        <v>6.0000000000000497E-2</v>
      </c>
      <c r="CN183" s="17">
        <f t="shared" si="157"/>
        <v>2.2400000000000002</v>
      </c>
      <c r="CO183" s="17">
        <f t="shared" si="158"/>
        <v>3.5900000000000007</v>
      </c>
      <c r="CP183" s="38">
        <f t="shared" si="173"/>
        <v>5.7700000000000005</v>
      </c>
      <c r="CQ183" s="17">
        <f t="shared" si="159"/>
        <v>7.120000000000001</v>
      </c>
      <c r="CR183" s="17">
        <f t="shared" si="160"/>
        <v>9.3000000000000007</v>
      </c>
      <c r="CS183" s="17">
        <f t="shared" si="161"/>
        <v>10.650000000000002</v>
      </c>
      <c r="CT183" s="2" cm="1">
        <f t="array" aca="1" ref="CT183" ca="1">MAX(_xlfn._xlws.FILTER(CM183:CS183,CM183:CS183&lt;BO183))</f>
        <v>3.5900000000000007</v>
      </c>
      <c r="CU183" s="2" cm="1">
        <f t="array" aca="1" ref="CU183" ca="1">MIN(_xlfn._xlws.FILTER($CM183:$CS183,$CM183:$CS183&gt;BO183))</f>
        <v>5.7700000000000005</v>
      </c>
      <c r="CV183" s="16">
        <f t="shared" ca="1" si="192"/>
        <v>0.60724233983286879</v>
      </c>
      <c r="CW183" s="20">
        <f t="shared" ca="1" si="193"/>
        <v>-0.3036211699164344</v>
      </c>
      <c r="CX183" s="20">
        <f t="shared" ca="1" si="194"/>
        <v>-0.20241411327762293</v>
      </c>
      <c r="CY183" s="20">
        <f t="shared" ca="1" si="195"/>
        <v>-0.12144846796657376</v>
      </c>
      <c r="CZ183" s="20">
        <f t="shared" ca="1" si="196"/>
        <v>-6.7471371092540977E-2</v>
      </c>
      <c r="DA183" s="20">
        <f t="shared" ca="1" si="197"/>
        <v>-3.5720137637227575E-2</v>
      </c>
      <c r="DB183" s="20">
        <f t="shared" ca="1" si="198"/>
        <v>-1.8401283025238448E-2</v>
      </c>
      <c r="DC183" s="20">
        <f t="shared" ca="1" si="199"/>
        <v>-9.3421898435825969E-3</v>
      </c>
      <c r="DD183" s="21">
        <f t="shared" ca="1" si="200"/>
        <v>9.3421898435825969E-3</v>
      </c>
      <c r="DE183" s="21">
        <f t="shared" ca="1" si="201"/>
        <v>1.8401283025238448E-2</v>
      </c>
      <c r="DF183" s="21">
        <f t="shared" ca="1" si="202"/>
        <v>3.5720137637227575E-2</v>
      </c>
      <c r="DG183" s="21">
        <f t="shared" ca="1" si="203"/>
        <v>6.7471371092540977E-2</v>
      </c>
      <c r="DH183" s="21">
        <f t="shared" ca="1" si="204"/>
        <v>0.12144846796657376</v>
      </c>
      <c r="DI183" s="21">
        <f t="shared" ca="1" si="205"/>
        <v>0.20241411327762293</v>
      </c>
      <c r="DJ183" s="21">
        <f t="shared" ca="1" si="206"/>
        <v>0.3036211699164344</v>
      </c>
      <c r="DL183" s="16" cm="1">
        <f t="array" aca="1" ref="DL183" ca="1">MAX(_xlfn._xlws.FILTER(CW183:DJ183,CW183:DJ183&lt;BU183))</f>
        <v>-9.3421898435825969E-3</v>
      </c>
      <c r="DM183" s="16" cm="1">
        <f t="array" aca="1" ref="DM183" ca="1">MIN(_xlfn._xlws.FILTER(CW183:DJ183,CW183:DJ183&gt;BU183))</f>
        <v>9.3421898435825969E-3</v>
      </c>
      <c r="DN183" s="2" cm="1">
        <f t="array" aca="1" ref="DN183" ca="1">_FV(EC183,"Fechamento anterior",TRUE)</f>
        <v>4.9400000000000004</v>
      </c>
      <c r="DO183" s="28">
        <f t="shared" ca="1" si="162"/>
        <v>0.5</v>
      </c>
      <c r="DP183" s="15">
        <f t="shared" ca="1" si="207"/>
        <v>4.8938495821727024</v>
      </c>
      <c r="DQ183" s="15">
        <f t="shared" ca="1" si="208"/>
        <v>4.9861504178272984</v>
      </c>
      <c r="DR183" s="9"/>
      <c r="DS183" s="9"/>
      <c r="DT183" s="9"/>
      <c r="DU183" s="89">
        <v>1.7582417582417569E-2</v>
      </c>
      <c r="DV183" s="89">
        <f t="shared" ca="1" si="163"/>
        <v>1.8684379687165194E-2</v>
      </c>
      <c r="DW183" s="72">
        <f t="shared" ca="1" si="164"/>
        <v>0.50340175039479007</v>
      </c>
      <c r="DX183" s="37"/>
      <c r="DY183" s="35">
        <f t="shared" si="174"/>
        <v>0.13905394636614951</v>
      </c>
      <c r="DZ183" s="56"/>
      <c r="EA183" s="56"/>
      <c r="EC183" s="2" t="e" vm="185">
        <v>#VALUE!</v>
      </c>
      <c r="EE183" s="10" cm="1">
        <f t="array" aca="1" ref="EE183" ca="1">_FV(EC183,"Ações em circulação",TRUE)</f>
        <v>994489400</v>
      </c>
      <c r="EF183" s="18">
        <f>VLOOKUP(BP183,Fundamentus!A:U,5,FALSE)</f>
        <v>0.13700000000000001</v>
      </c>
      <c r="EG183" s="2">
        <f t="shared" ca="1" si="165"/>
        <v>35859690773.722626</v>
      </c>
      <c r="EH183" s="17">
        <v>-1122408321.2175183</v>
      </c>
      <c r="EI183" s="17">
        <f t="shared" ca="1" si="166"/>
        <v>-1122408321.2175183</v>
      </c>
      <c r="EK183" s="16">
        <f t="shared" ca="1" si="153"/>
        <v>0</v>
      </c>
      <c r="EL183" s="32" t="str">
        <f>IF(VLOOKUP(BP183,Fundamentus!A:U,3,FALSE)&lt;15,"Bom",IF(VLOOKUP(BP183,Fundamentus!A:U,3,FALSE)&gt;15,"Ruim","n/a"))</f>
        <v>Bom</v>
      </c>
      <c r="EM183" s="28" t="str">
        <f>IF(VLOOKUP(BP183,Fundamentus!A:U,4,FALSE)&lt;1,"Baixo",IF(VLOOKUP(BP183,Fundamentus!A:U,4,FALSE)&lt;1.5,"Moderado",IF(VLOOKUP(BP183,Fundamentus!A:U,4,FALSE)&gt;1.5,"Alto","n/a")))</f>
        <v>Baixo</v>
      </c>
      <c r="EN183" s="17" t="str">
        <f>IF(VLOOKUP(BP183,Fundamentus!A:U,8,FALSE)&lt;0,"Risco elevado",IF(VLOOKUP(BP183,Fundamentus!A:U,8,FALSE)&lt;1,"Saudável",IF(VLOOKUP(BP183,Fundamentus!A:U,8,FALSE)&lt;3,"Estável",IF(VLOOKUP(BP183,Fundamentus!A:U,8,FALSE)&gt;3,"Alerta","n/a"))))</f>
        <v>Saudável</v>
      </c>
      <c r="EO183" s="28" t="str">
        <f t="shared" si="167"/>
        <v>Ruim</v>
      </c>
      <c r="EP183" s="17" t="str">
        <f>IF(VLOOKUP(BP183,Fundamentus!A:U,12,FALSE)&lt;2,"Subvalorizada",IF(VLOOKUP(BP183,Fundamentus!A:U,12,FALSE)&lt;6,"Muita barata",IF(VLOOKUP(BP183,Fundamentus!A:U,12,FALSE)&lt;6,"Barata",IF(VLOOKUP(BP183,Fundamentus!A:U,12,FALSE)&lt;8,"Atrativa",IF(VLOOKUP(BP183,Fundamentus!A:U,12,FALSE)&gt;8,"Supervalorizada","n/a")))))</f>
        <v>Atrativa</v>
      </c>
      <c r="ER183" s="17" t="str">
        <f>IF(VLOOKUP(BP183,Fundamentus!A:U,17,FALSE)&lt;0.1,"Fraco retorno",IF(VLOOKUP(BP183,Fundamentus!A:U,17,FALSE)&gt;0.1,"Bom retorno","n/a"))</f>
        <v>Bom retorno</v>
      </c>
      <c r="ES183" s="17" t="str">
        <f>IF(VLOOKUP(BP183,Fundamentus!A:U,16,FALSE)&lt;0.1,"Ineficiente",IF(VLOOKUP(BP183,Fundamentus!A:U,16,FALSE)&gt;0.1,"Eficiente","n/a"))</f>
        <v>Eficiente</v>
      </c>
      <c r="ET183" s="33" t="str">
        <f>IF(VLOOKUP(BP183,Fundamentus!A:U,16,FALSE)&lt;0.1,"Oper. Ineficiente",IF(VLOOKUP(BP183,Fundamentus!A:U,16,FALSE)&gt;0.1,"Oper.Eficiente","n/a"))</f>
        <v>Oper.Eficiente</v>
      </c>
      <c r="EU183" s="34">
        <f>VLOOKUP(BP183,Fundamentus!A:U,14,FALSE)</f>
        <v>-3.1300000000000001E-2</v>
      </c>
      <c r="EV183" s="17" t="str">
        <f>IF(VLOOKUP(BP183,Fundamentus!A:U,21,FALSE)&lt;0,"Negativo",IF(VLOOKUP(BP183,Fundamentus!A:U,21,FALSE)&lt;0.05,"Fraco",IF(VLOOKUP(BP183,Fundamentus!A:U,21,FALSE)&lt;0.1,"Bom",IF(VLOOKUP(BP183,Fundamentus!A:U,21,FALSE)&gt;0.1,"Muito bom","n/a"))))</f>
        <v>Muito bom</v>
      </c>
      <c r="EX183" s="29" t="str">
        <f>IF(VLOOKUP(BP183,Fundamentus!A:U,15,FALSE)&gt;1,"Bom",IF(VLOOKUP(BP183,Fundamentus!A:U,15,FALSE)&lt;1,"Ruim","n/a"))</f>
        <v>Bom</v>
      </c>
      <c r="EY183" s="17" t="str">
        <f>IF(VLOOKUP(BP183,Fundamentus!A:U,20,FALSE)&lt;0.5,"Baixa",IF(VLOOKUP(BP183,Fundamentus!A:U,20,FALSE)&lt;1,"Moderada",IF(VLOOKUP(BP183,Fundamentus!A:U,20,FALSE)&lt;2,"Alerta",IF(VLOOKUP(BP183,Fundamentus!A:U,20,FALSE)&gt;2,"Alta","n/a"))))</f>
        <v>Baixa</v>
      </c>
      <c r="EZ183" s="10"/>
    </row>
    <row r="184" spans="1:156" s="2" customFormat="1" ht="11.25" x14ac:dyDescent="0.2">
      <c r="A184" s="4">
        <v>9.7799999999999994</v>
      </c>
      <c r="B184" s="4">
        <v>9.9600000000000009</v>
      </c>
      <c r="C184" s="4">
        <v>9.93</v>
      </c>
      <c r="D184" s="4">
        <v>9.74</v>
      </c>
      <c r="E184" s="4">
        <v>9.56</v>
      </c>
      <c r="F184" s="4">
        <v>9.5299999999999994</v>
      </c>
      <c r="G184" s="4">
        <v>9.15</v>
      </c>
      <c r="H184" s="4">
        <v>8.85</v>
      </c>
      <c r="I184" s="4">
        <v>9.1199999999999992</v>
      </c>
      <c r="J184" s="4">
        <v>9.34</v>
      </c>
      <c r="K184" s="4">
        <v>9.31</v>
      </c>
      <c r="L184" s="4">
        <v>8.8699999999999992</v>
      </c>
      <c r="M184" s="4">
        <v>8.66</v>
      </c>
      <c r="N184" s="4">
        <v>8.58</v>
      </c>
      <c r="O184" s="4">
        <v>8.35</v>
      </c>
      <c r="P184" s="4">
        <v>8.06</v>
      </c>
      <c r="Q184" s="4">
        <v>8.27</v>
      </c>
      <c r="R184" s="4">
        <v>7.7</v>
      </c>
      <c r="S184" s="4">
        <v>7.42</v>
      </c>
      <c r="T184" s="4">
        <v>7.4</v>
      </c>
      <c r="U184" s="4">
        <v>7.05</v>
      </c>
      <c r="V184" s="4">
        <v>7.11</v>
      </c>
      <c r="W184" s="4">
        <v>7.05</v>
      </c>
      <c r="X184" s="4">
        <v>6.89</v>
      </c>
      <c r="Y184" s="4">
        <v>7</v>
      </c>
      <c r="Z184" s="4">
        <v>7.13</v>
      </c>
      <c r="AA184" s="4">
        <v>7.22</v>
      </c>
      <c r="AB184" s="4">
        <v>6.52</v>
      </c>
      <c r="AC184" s="4">
        <v>6.77</v>
      </c>
      <c r="AD184" s="4">
        <v>6.86</v>
      </c>
      <c r="AE184" s="4">
        <v>6.29</v>
      </c>
      <c r="AF184" s="4">
        <v>6</v>
      </c>
      <c r="AG184" s="4">
        <v>6.18</v>
      </c>
      <c r="AH184" s="4">
        <v>6.18</v>
      </c>
      <c r="AI184" s="4">
        <v>6.32</v>
      </c>
      <c r="AJ184" s="4">
        <v>6.41</v>
      </c>
      <c r="AK184" s="4">
        <v>6.24</v>
      </c>
      <c r="AL184" s="4">
        <v>6.21</v>
      </c>
      <c r="AM184" s="4">
        <v>6.13</v>
      </c>
      <c r="AN184" s="4">
        <v>6.2</v>
      </c>
      <c r="AO184" s="4">
        <v>6.37</v>
      </c>
      <c r="AP184" s="4">
        <v>6.74</v>
      </c>
      <c r="AQ184" s="4">
        <v>6.75</v>
      </c>
      <c r="AR184" s="4">
        <v>6.33</v>
      </c>
      <c r="AS184" s="4">
        <v>6.64</v>
      </c>
      <c r="AT184" s="4">
        <v>6.9</v>
      </c>
      <c r="AU184" s="4">
        <v>6.875</v>
      </c>
      <c r="AV184" s="4">
        <v>7.03</v>
      </c>
      <c r="AW184" s="4">
        <v>7.23</v>
      </c>
      <c r="AX184" s="4">
        <v>7.28</v>
      </c>
      <c r="AY184" s="12">
        <v>7.23</v>
      </c>
      <c r="AZ184" s="12">
        <v>7.39</v>
      </c>
      <c r="BA184" s="12">
        <v>7.4</v>
      </c>
      <c r="BB184" s="15">
        <v>8.11</v>
      </c>
      <c r="BC184" s="52">
        <v>9.14</v>
      </c>
      <c r="BD184" s="52">
        <v>9.08</v>
      </c>
      <c r="BE184" s="52">
        <v>9.18</v>
      </c>
      <c r="BF184" s="52">
        <v>8.93</v>
      </c>
      <c r="BG184" s="67">
        <v>9.15</v>
      </c>
      <c r="BH184" s="52">
        <v>9.06</v>
      </c>
      <c r="BI184" s="52">
        <v>9.23</v>
      </c>
      <c r="BJ184" s="52">
        <v>8.94</v>
      </c>
      <c r="BK184" s="52">
        <v>8.56</v>
      </c>
      <c r="BL184" s="52">
        <v>8.5299999999999994</v>
      </c>
      <c r="BM184" s="52">
        <v>8.49</v>
      </c>
      <c r="BN184" s="52">
        <v>8.64</v>
      </c>
      <c r="BO184" s="52" cm="1">
        <f t="array" aca="1" ref="BO184" ca="1">_FV(EC184,"Preço")</f>
        <v>8.64</v>
      </c>
      <c r="BP184" s="69" t="s">
        <v>67</v>
      </c>
      <c r="BQ184" s="36" cm="1">
        <f t="array" aca="1" ref="BQ184" ca="1">_FV(EC184,"Média de volume",TRUE)</f>
        <v>1239180</v>
      </c>
      <c r="BR184" s="36">
        <v>1545600</v>
      </c>
      <c r="BS184" s="36" cm="1">
        <f t="array" aca="1" ref="BS184" ca="1">_FV(EC184,"Volume")</f>
        <v>1545600</v>
      </c>
      <c r="BT184" s="24" cm="1">
        <f t="array" aca="1" ref="BT184" ca="1">_FV(EC184,"Beta")</f>
        <v>1.0098</v>
      </c>
      <c r="BU184" s="71" cm="1">
        <f t="array" aca="1" ref="BU184" ca="1">_FV(EC184,"Variação (%)",TRUE)</f>
        <v>9.3460000000000001E-3</v>
      </c>
      <c r="BW184" s="17" cm="1">
        <f t="array" aca="1" ref="BW184" ca="1">_FV(EC184,"Baixo")</f>
        <v>8.58</v>
      </c>
      <c r="BX184" s="17" cm="1">
        <f t="array" aca="1" ref="BX184" ca="1">_FV(EC184,"Alto")</f>
        <v>8.84</v>
      </c>
      <c r="BY184" s="24"/>
      <c r="BZ184" s="63">
        <f ca="1">SQRT(22.5*(BO184/VLOOKUP(BP184,Fundamentus!A:U,3,FALSE))*(BO184/VLOOKUP(BP184,Fundamentus!A:U,4,FALSE)))</f>
        <v>6.2097059622911859</v>
      </c>
      <c r="CB184" s="62">
        <f t="shared" ca="1" si="168"/>
        <v>0</v>
      </c>
      <c r="CC184" s="8"/>
      <c r="CD184" s="61">
        <f t="shared" si="169"/>
        <v>6</v>
      </c>
      <c r="CE184" s="61">
        <f t="shared" si="170"/>
        <v>9.9600000000000009</v>
      </c>
      <c r="CF184" s="61">
        <f t="shared" si="171"/>
        <v>7.7961363636363634</v>
      </c>
      <c r="CG184" s="14"/>
      <c r="CH184" s="35">
        <f t="shared" si="154"/>
        <v>8.28166735395261</v>
      </c>
      <c r="CI184" s="15">
        <f t="shared" si="172"/>
        <v>8.6049999999999898</v>
      </c>
      <c r="CJ184" s="35">
        <f t="shared" si="155"/>
        <v>8.9283326460473695</v>
      </c>
      <c r="CL184" s="14"/>
      <c r="CM184" s="17">
        <f t="shared" si="156"/>
        <v>2.4800000000000004</v>
      </c>
      <c r="CN184" s="17">
        <f t="shared" si="157"/>
        <v>4.24</v>
      </c>
      <c r="CO184" s="17">
        <f t="shared" si="158"/>
        <v>6.4400000000000013</v>
      </c>
      <c r="CP184" s="38">
        <f t="shared" si="173"/>
        <v>8.2000000000000011</v>
      </c>
      <c r="CQ184" s="17">
        <f t="shared" si="159"/>
        <v>10.400000000000002</v>
      </c>
      <c r="CR184" s="17">
        <f t="shared" si="160"/>
        <v>12.160000000000002</v>
      </c>
      <c r="CS184" s="17">
        <f t="shared" si="161"/>
        <v>14.360000000000003</v>
      </c>
      <c r="CT184" s="2" cm="1">
        <f t="array" aca="1" ref="CT184" ca="1">MAX(_xlfn._xlws.FILTER(CM184:CS184,CM184:CS184&lt;BO184))</f>
        <v>8.2000000000000011</v>
      </c>
      <c r="CU184" s="2" cm="1">
        <f t="array" aca="1" ref="CU184" ca="1">MIN(_xlfn._xlws.FILTER($CM184:$CS184,$CM184:$CS184&gt;BO184))</f>
        <v>10.400000000000002</v>
      </c>
      <c r="CV184" s="16">
        <f t="shared" ca="1" si="192"/>
        <v>0.26829268292682928</v>
      </c>
      <c r="CW184" s="20">
        <f t="shared" ca="1" si="193"/>
        <v>-0.13414634146341464</v>
      </c>
      <c r="CX184" s="20">
        <f t="shared" ca="1" si="194"/>
        <v>-8.943089430894309E-2</v>
      </c>
      <c r="CY184" s="20">
        <f t="shared" ca="1" si="195"/>
        <v>-5.365853658536586E-2</v>
      </c>
      <c r="CZ184" s="20">
        <f t="shared" ca="1" si="196"/>
        <v>-2.9810298102981032E-2</v>
      </c>
      <c r="DA184" s="20">
        <f t="shared" ca="1" si="197"/>
        <v>-1.5781922525107604E-2</v>
      </c>
      <c r="DB184" s="20">
        <f t="shared" ca="1" si="198"/>
        <v>-8.130081300813009E-3</v>
      </c>
      <c r="DC184" s="20">
        <f t="shared" ca="1" si="199"/>
        <v>-4.1275797373358349E-3</v>
      </c>
      <c r="DD184" s="21">
        <f t="shared" ca="1" si="200"/>
        <v>4.1275797373358349E-3</v>
      </c>
      <c r="DE184" s="21">
        <f t="shared" ca="1" si="201"/>
        <v>8.130081300813009E-3</v>
      </c>
      <c r="DF184" s="21">
        <f t="shared" ca="1" si="202"/>
        <v>1.5781922525107604E-2</v>
      </c>
      <c r="DG184" s="21">
        <f t="shared" ca="1" si="203"/>
        <v>2.9810298102981032E-2</v>
      </c>
      <c r="DH184" s="21">
        <f t="shared" ca="1" si="204"/>
        <v>5.365853658536586E-2</v>
      </c>
      <c r="DI184" s="21">
        <f t="shared" ca="1" si="205"/>
        <v>8.943089430894309E-2</v>
      </c>
      <c r="DJ184" s="21">
        <f t="shared" ca="1" si="206"/>
        <v>0.13414634146341464</v>
      </c>
      <c r="DL184" s="16" cm="1">
        <f t="array" aca="1" ref="DL184" ca="1">MAX(_xlfn._xlws.FILTER(CW184:DJ184,CW184:DJ184&lt;BU184))</f>
        <v>8.130081300813009E-3</v>
      </c>
      <c r="DM184" s="16" cm="1">
        <f t="array" aca="1" ref="DM184" ca="1">MIN(_xlfn._xlws.FILTER(CW184:DJ184,CW184:DJ184&gt;BU184))</f>
        <v>1.5781922525107604E-2</v>
      </c>
      <c r="DN184" s="2" cm="1">
        <f t="array" aca="1" ref="DN184" ca="1">_FV(EC184,"Fechamento anterior",TRUE)</f>
        <v>8.56</v>
      </c>
      <c r="DO184" s="28">
        <f t="shared" ca="1" si="162"/>
        <v>0.15887850467289061</v>
      </c>
      <c r="DP184" s="15">
        <f t="shared" ca="1" si="207"/>
        <v>8.6295934959349605</v>
      </c>
      <c r="DQ184" s="15">
        <f t="shared" ca="1" si="208"/>
        <v>8.6950932568149213</v>
      </c>
      <c r="DR184" s="9"/>
      <c r="DS184" s="9"/>
      <c r="DT184" s="9"/>
      <c r="DU184" s="89">
        <v>8.1540346138141168E-3</v>
      </c>
      <c r="DV184" s="89">
        <f t="shared" ca="1" si="163"/>
        <v>7.6518412242945946E-3</v>
      </c>
      <c r="DW184" s="72">
        <f t="shared" ca="1" si="164"/>
        <v>0.10824765277454244</v>
      </c>
      <c r="DX184" s="37"/>
      <c r="DY184" s="35">
        <f t="shared" si="174"/>
        <v>0.16166632302368955</v>
      </c>
      <c r="DZ184" s="56"/>
      <c r="EA184" s="56"/>
      <c r="EC184" s="2" t="e" vm="186">
        <v>#VALUE!</v>
      </c>
      <c r="EE184" s="10" cm="1">
        <f t="array" aca="1" ref="EE184" ca="1">_FV(EC184,"Ações em circulação",TRUE)</f>
        <v>683062200</v>
      </c>
      <c r="EF184" s="18">
        <f>VLOOKUP(BP184,Fundamentus!A:U,5,FALSE)</f>
        <v>1.3759999999999999</v>
      </c>
      <c r="EG184" s="2">
        <f t="shared" ca="1" si="165"/>
        <v>4288995209.3023257</v>
      </c>
      <c r="EH184" s="17">
        <v>196007081.06511629</v>
      </c>
      <c r="EI184" s="17">
        <f t="shared" ca="1" si="166"/>
        <v>196007081.06511629</v>
      </c>
      <c r="EK184" s="16">
        <f t="shared" ca="1" si="153"/>
        <v>0</v>
      </c>
      <c r="EL184" s="32" t="str">
        <f>IF(VLOOKUP(BP184,Fundamentus!A:U,3,FALSE)&lt;15,"Bom",IF(VLOOKUP(BP184,Fundamentus!A:U,3,FALSE)&gt;15,"Ruim","n/a"))</f>
        <v>Ruim</v>
      </c>
      <c r="EM184" s="28" t="str">
        <f>IF(VLOOKUP(BP184,Fundamentus!A:U,4,FALSE)&lt;1,"Baixo",IF(VLOOKUP(BP184,Fundamentus!A:U,4,FALSE)&lt;1.5,"Moderado",IF(VLOOKUP(BP184,Fundamentus!A:U,4,FALSE)&gt;1.5,"Alto","n/a")))</f>
        <v>Moderado</v>
      </c>
      <c r="EN184" s="17" t="str">
        <f>IF(VLOOKUP(BP184,Fundamentus!A:U,8,FALSE)&lt;0,"Risco elevado",IF(VLOOKUP(BP184,Fundamentus!A:U,8,FALSE)&lt;1,"Saudável",IF(VLOOKUP(BP184,Fundamentus!A:U,8,FALSE)&lt;3,"Estável",IF(VLOOKUP(BP184,Fundamentus!A:U,8,FALSE)&gt;3,"Alerta","n/a"))))</f>
        <v>Alerta</v>
      </c>
      <c r="EO184" s="28" t="str">
        <f t="shared" si="167"/>
        <v>Bom</v>
      </c>
      <c r="EP184" s="17" t="str">
        <f>IF(VLOOKUP(BP184,Fundamentus!A:U,12,FALSE)&lt;2,"Subvalorizada",IF(VLOOKUP(BP184,Fundamentus!A:U,12,FALSE)&lt;6,"Muita barata",IF(VLOOKUP(BP184,Fundamentus!A:U,12,FALSE)&lt;6,"Barata",IF(VLOOKUP(BP184,Fundamentus!A:U,12,FALSE)&lt;8,"Atrativa",IF(VLOOKUP(BP184,Fundamentus!A:U,12,FALSE)&gt;8,"Supervalorizada","n/a")))))</f>
        <v>Supervalorizada</v>
      </c>
      <c r="ER184" s="17" t="str">
        <f>IF(VLOOKUP(BP184,Fundamentus!A:U,17,FALSE)&lt;0.1,"Fraco retorno",IF(VLOOKUP(BP184,Fundamentus!A:U,17,FALSE)&gt;0.1,"Bom retorno","n/a"))</f>
        <v>Fraco retorno</v>
      </c>
      <c r="ES184" s="17" t="str">
        <f>IF(VLOOKUP(BP184,Fundamentus!A:U,16,FALSE)&lt;0.1,"Ineficiente",IF(VLOOKUP(BP184,Fundamentus!A:U,16,FALSE)&gt;0.1,"Eficiente","n/a"))</f>
        <v>Ineficiente</v>
      </c>
      <c r="ET184" s="33" t="str">
        <f>IF(VLOOKUP(BP184,Fundamentus!A:U,16,FALSE)&lt;0.1,"Oper. Ineficiente",IF(VLOOKUP(BP184,Fundamentus!A:U,16,FALSE)&gt;0.1,"Oper.Eficiente","n/a"))</f>
        <v>Oper. Ineficiente</v>
      </c>
      <c r="EU184" s="34">
        <f>VLOOKUP(BP184,Fundamentus!A:U,14,FALSE)</f>
        <v>4.5699999999999998E-2</v>
      </c>
      <c r="EV184" s="17" t="str">
        <f>IF(VLOOKUP(BP184,Fundamentus!A:U,21,FALSE)&lt;0,"Negativo",IF(VLOOKUP(BP184,Fundamentus!A:U,21,FALSE)&lt;0.05,"Fraco",IF(VLOOKUP(BP184,Fundamentus!A:U,21,FALSE)&lt;0.1,"Bom",IF(VLOOKUP(BP184,Fundamentus!A:U,21,FALSE)&gt;0.1,"Muito bom","n/a"))))</f>
        <v>Fraco</v>
      </c>
      <c r="EX184" s="29" t="str">
        <f>IF(VLOOKUP(BP184,Fundamentus!A:U,15,FALSE)&gt;1,"Bom",IF(VLOOKUP(BP184,Fundamentus!A:U,15,FALSE)&lt;1,"Ruim","n/a"))</f>
        <v>Bom</v>
      </c>
      <c r="EY184" s="17" t="str">
        <f>IF(VLOOKUP(BP184,Fundamentus!A:U,20,FALSE)&lt;0.5,"Baixa",IF(VLOOKUP(BP184,Fundamentus!A:U,20,FALSE)&lt;1,"Moderada",IF(VLOOKUP(BP184,Fundamentus!A:U,20,FALSE)&lt;2,"Alerta",IF(VLOOKUP(BP184,Fundamentus!A:U,20,FALSE)&gt;2,"Alta","n/a"))))</f>
        <v>Baixa</v>
      </c>
      <c r="EZ184" s="10"/>
    </row>
    <row r="185" spans="1:156" s="5" customFormat="1" ht="11.25" x14ac:dyDescent="0.2">
      <c r="A185" s="4">
        <v>2.09</v>
      </c>
      <c r="B185" s="4">
        <v>1.98</v>
      </c>
      <c r="C185" s="4">
        <v>2.17</v>
      </c>
      <c r="D185" s="4">
        <v>2.16</v>
      </c>
      <c r="E185" s="4">
        <v>2.13</v>
      </c>
      <c r="F185" s="4">
        <v>2.06</v>
      </c>
      <c r="G185" s="4">
        <v>1.99</v>
      </c>
      <c r="H185" s="4">
        <v>1.91</v>
      </c>
      <c r="I185" s="4">
        <v>1.97</v>
      </c>
      <c r="J185" s="4">
        <v>2.1800000000000002</v>
      </c>
      <c r="K185" s="4">
        <v>2.1800000000000002</v>
      </c>
      <c r="L185" s="4">
        <v>1.96</v>
      </c>
      <c r="M185" s="4">
        <v>1.99</v>
      </c>
      <c r="N185" s="4">
        <v>1.95</v>
      </c>
      <c r="O185" s="4">
        <v>2.12</v>
      </c>
      <c r="P185" s="4">
        <v>1.79</v>
      </c>
      <c r="Q185" s="4">
        <v>2</v>
      </c>
      <c r="R185" s="4">
        <v>1.86</v>
      </c>
      <c r="S185" s="4">
        <v>1.84</v>
      </c>
      <c r="T185" s="4">
        <v>1.82</v>
      </c>
      <c r="U185" s="4">
        <v>1.59</v>
      </c>
      <c r="V185" s="4">
        <v>1.64</v>
      </c>
      <c r="W185" s="4">
        <v>1.65</v>
      </c>
      <c r="X185" s="4">
        <v>1.61</v>
      </c>
      <c r="Y185" s="4">
        <v>1.55</v>
      </c>
      <c r="Z185" s="4">
        <v>1.62</v>
      </c>
      <c r="AA185" s="4">
        <v>1.59</v>
      </c>
      <c r="AB185" s="4">
        <v>1.51</v>
      </c>
      <c r="AC185" s="4">
        <v>1.46</v>
      </c>
      <c r="AD185" s="4">
        <v>1.44</v>
      </c>
      <c r="AE185" s="4">
        <v>1.27</v>
      </c>
      <c r="AF185" s="4">
        <v>1.17</v>
      </c>
      <c r="AG185" s="4">
        <v>1.1399999999999999</v>
      </c>
      <c r="AH185" s="4">
        <v>1.1000000000000001</v>
      </c>
      <c r="AI185" s="4">
        <v>1.06</v>
      </c>
      <c r="AJ185" s="4">
        <v>1.05</v>
      </c>
      <c r="AK185" s="4">
        <v>1.1499999999999999</v>
      </c>
      <c r="AL185" s="4">
        <v>1.1399999999999999</v>
      </c>
      <c r="AM185" s="4">
        <v>1.0900000000000001</v>
      </c>
      <c r="AN185" s="4">
        <v>1.24</v>
      </c>
      <c r="AO185" s="4">
        <v>1.1599999999999999</v>
      </c>
      <c r="AP185" s="4">
        <v>1.27</v>
      </c>
      <c r="AQ185" s="4">
        <v>1.24</v>
      </c>
      <c r="AR185" s="4">
        <v>1.1299999999999999</v>
      </c>
      <c r="AS185" s="4">
        <v>1.1599999999999999</v>
      </c>
      <c r="AT185" s="4">
        <v>1.21</v>
      </c>
      <c r="AU185" s="4">
        <v>1.2050000000000001</v>
      </c>
      <c r="AV185" s="4">
        <v>1.26</v>
      </c>
      <c r="AW185" s="4">
        <v>1.22</v>
      </c>
      <c r="AX185" s="4">
        <v>1.18</v>
      </c>
      <c r="AY185" s="12">
        <v>1.23</v>
      </c>
      <c r="AZ185" s="12">
        <v>1.3</v>
      </c>
      <c r="BA185" s="12">
        <v>1.22</v>
      </c>
      <c r="BB185" s="15">
        <v>1.29</v>
      </c>
      <c r="BC185" s="52">
        <v>1.26</v>
      </c>
      <c r="BD185" s="52">
        <v>1</v>
      </c>
      <c r="BE185" s="52">
        <v>1.04</v>
      </c>
      <c r="BF185" s="52">
        <v>1.07</v>
      </c>
      <c r="BG185" s="67">
        <v>1.07</v>
      </c>
      <c r="BH185" s="52">
        <v>1.08</v>
      </c>
      <c r="BI185" s="52">
        <v>1.08</v>
      </c>
      <c r="BJ185" s="52">
        <v>1.07</v>
      </c>
      <c r="BK185" s="52">
        <v>1.04</v>
      </c>
      <c r="BL185" s="52">
        <v>1.05</v>
      </c>
      <c r="BM185" s="52">
        <v>1.03</v>
      </c>
      <c r="BN185" s="52">
        <v>1</v>
      </c>
      <c r="BO185" s="52" cm="1">
        <f t="array" aca="1" ref="BO185" ca="1">_FV(EC185,"Preço")</f>
        <v>1</v>
      </c>
      <c r="BP185" s="69" t="s">
        <v>181</v>
      </c>
      <c r="BQ185" s="36" cm="1">
        <f t="array" aca="1" ref="BQ185" ca="1">_FV(EC185,"Média de volume",TRUE)</f>
        <v>980680</v>
      </c>
      <c r="BR185" s="36">
        <v>1568400</v>
      </c>
      <c r="BS185" s="36" cm="1">
        <f t="array" aca="1" ref="BS185" ca="1">_FV(EC185,"Volume")</f>
        <v>1568400</v>
      </c>
      <c r="BT185" s="24" cm="1">
        <f t="array" aca="1" ref="BT185" ca="1">_FV(EC185,"Beta")</f>
        <v>1.8247</v>
      </c>
      <c r="BU185" s="71" cm="1">
        <f t="array" aca="1" ref="BU185" ca="1">_FV(EC185,"Variação (%)",TRUE)</f>
        <v>-9.9010000000000001E-3</v>
      </c>
      <c r="BW185" s="17" cm="1">
        <f t="array" aca="1" ref="BW185" ca="1">_FV(EC185,"Baixo")</f>
        <v>0.99</v>
      </c>
      <c r="BX185" s="17" cm="1">
        <f t="array" aca="1" ref="BX185" ca="1">_FV(EC185,"Alto")</f>
        <v>1.03</v>
      </c>
      <c r="BY185" s="24"/>
      <c r="BZ185" s="63" t="e">
        <f ca="1">SQRT(22.5*(BO185/VLOOKUP(BP185,Fundamentus!A:U,3,FALSE))*(BO185/VLOOKUP(BP185,Fundamentus!A:U,4,FALSE)))</f>
        <v>#NUM!</v>
      </c>
      <c r="CB185" s="62">
        <f t="shared" ca="1" si="168"/>
        <v>0</v>
      </c>
      <c r="CC185" s="8"/>
      <c r="CD185" s="61">
        <f t="shared" si="169"/>
        <v>1</v>
      </c>
      <c r="CE185" s="61">
        <f t="shared" si="170"/>
        <v>2.1800000000000002</v>
      </c>
      <c r="CF185" s="61">
        <f t="shared" si="171"/>
        <v>1.4709848484848482</v>
      </c>
      <c r="CG185" s="14"/>
      <c r="CH185" s="35">
        <f t="shared" si="154"/>
        <v>0.9486966523888436</v>
      </c>
      <c r="CI185" s="15">
        <f t="shared" si="172"/>
        <v>0.99500000000000455</v>
      </c>
      <c r="CJ185" s="35">
        <f t="shared" si="155"/>
        <v>1.0413033476111655</v>
      </c>
      <c r="CL185" s="14"/>
      <c r="CM185" s="17">
        <f t="shared" si="156"/>
        <v>-0.57333333333333369</v>
      </c>
      <c r="CN185" s="17">
        <f t="shared" si="157"/>
        <v>0.21333333333333315</v>
      </c>
      <c r="CO185" s="17">
        <f t="shared" si="158"/>
        <v>0.60666666666666647</v>
      </c>
      <c r="CP185" s="38">
        <f t="shared" si="173"/>
        <v>1.3933333333333333</v>
      </c>
      <c r="CQ185" s="17">
        <f t="shared" si="159"/>
        <v>1.7866666666666666</v>
      </c>
      <c r="CR185" s="17">
        <f t="shared" si="160"/>
        <v>2.5733333333333333</v>
      </c>
      <c r="CS185" s="17">
        <f t="shared" si="161"/>
        <v>2.9666666666666668</v>
      </c>
      <c r="CT185" s="2" cm="1">
        <f t="array" aca="1" ref="CT185" ca="1">MAX(_xlfn._xlws.FILTER(CM185:CS185,CM185:CS185&lt;BO185))</f>
        <v>0.60666666666666647</v>
      </c>
      <c r="CU185" s="2" cm="1">
        <f t="array" aca="1" ref="CU185" ca="1">MIN(_xlfn._xlws.FILTER($CM185:$CS185,$CM185:$CS185&gt;BO185))</f>
        <v>1.3933333333333333</v>
      </c>
      <c r="CV185" s="16">
        <f t="shared" ca="1" si="192"/>
        <v>1.2967032967032974</v>
      </c>
      <c r="CW185" s="20">
        <f t="shared" ca="1" si="193"/>
        <v>-0.64835164835164871</v>
      </c>
      <c r="CX185" s="20">
        <f t="shared" ca="1" si="194"/>
        <v>-0.43223443223443248</v>
      </c>
      <c r="CY185" s="20">
        <f t="shared" ca="1" si="195"/>
        <v>-0.25934065934065947</v>
      </c>
      <c r="CZ185" s="20">
        <f t="shared" ca="1" si="196"/>
        <v>-0.14407814407814415</v>
      </c>
      <c r="DA185" s="20">
        <f t="shared" ca="1" si="197"/>
        <v>-7.6276664511958678E-2</v>
      </c>
      <c r="DB185" s="20">
        <f t="shared" ca="1" si="198"/>
        <v>-3.9294039294039317E-2</v>
      </c>
      <c r="DC185" s="20">
        <f t="shared" ca="1" si="199"/>
        <v>-1.9949281487743036E-2</v>
      </c>
      <c r="DD185" s="21">
        <f t="shared" ca="1" si="200"/>
        <v>1.9949281487743036E-2</v>
      </c>
      <c r="DE185" s="21">
        <f t="shared" ca="1" si="201"/>
        <v>3.9294039294039317E-2</v>
      </c>
      <c r="DF185" s="21">
        <f t="shared" ca="1" si="202"/>
        <v>7.6276664511958678E-2</v>
      </c>
      <c r="DG185" s="21">
        <f t="shared" ca="1" si="203"/>
        <v>0.14407814407814415</v>
      </c>
      <c r="DH185" s="21">
        <f t="shared" ca="1" si="204"/>
        <v>0.25934065934065947</v>
      </c>
      <c r="DI185" s="21">
        <f t="shared" ca="1" si="205"/>
        <v>0.43223443223443248</v>
      </c>
      <c r="DJ185" s="21">
        <f t="shared" ca="1" si="206"/>
        <v>0.64835164835164871</v>
      </c>
      <c r="DL185" s="16" cm="1">
        <f t="array" aca="1" ref="DL185" ca="1">MAX(_xlfn._xlws.FILTER(CW185:DJ185,CW185:DJ185&lt;BU185))</f>
        <v>-1.9949281487743036E-2</v>
      </c>
      <c r="DM185" s="16" cm="1">
        <f t="array" aca="1" ref="DM185" ca="1">MIN(_xlfn._xlws.FILTER(CW185:DJ185,CW185:DJ185&gt;BU185))</f>
        <v>1.9949281487743036E-2</v>
      </c>
      <c r="DN185" s="2" cm="1">
        <f t="array" aca="1" ref="DN185" ca="1">_FV(EC185,"Fechamento anterior",TRUE)</f>
        <v>1.01</v>
      </c>
      <c r="DO185" s="28">
        <f t="shared" ca="1" si="162"/>
        <v>0.25184594730659565</v>
      </c>
      <c r="DP185" s="15">
        <f t="shared" ca="1" si="207"/>
        <v>0.98985122569737949</v>
      </c>
      <c r="DQ185" s="15">
        <f t="shared" ca="1" si="208"/>
        <v>1.0301487743026205</v>
      </c>
      <c r="DR185" s="9"/>
      <c r="DS185" s="9"/>
      <c r="DT185" s="9"/>
      <c r="DU185" s="89">
        <v>3.701923076923077E-2</v>
      </c>
      <c r="DV185" s="89">
        <f t="shared" ca="1" si="163"/>
        <v>3.9898562975486072E-2</v>
      </c>
      <c r="DW185" s="72">
        <f t="shared" ca="1" si="164"/>
        <v>0.10798355319757169</v>
      </c>
      <c r="DX185" s="37"/>
      <c r="DY185" s="35">
        <f t="shared" si="174"/>
        <v>2.3151673805580471E-2</v>
      </c>
      <c r="DZ185" s="56"/>
      <c r="EA185" s="56"/>
      <c r="EC185" s="5" t="e" vm="187">
        <v>#VALUE!</v>
      </c>
      <c r="EE185" s="10" cm="1">
        <f t="array" aca="1" ref="EE185" ca="1">_FV(EC185,"Ações em circulação",TRUE)</f>
        <v>820539200</v>
      </c>
      <c r="EF185" s="18">
        <f>VLOOKUP(BP185,Fundamentus!A:U,5,FALSE)</f>
        <v>0.252</v>
      </c>
      <c r="EG185" s="2">
        <f t="shared" ca="1" si="165"/>
        <v>3256107936.5079365</v>
      </c>
      <c r="EH185" s="17">
        <v>-178434714.92063493</v>
      </c>
      <c r="EI185" s="17">
        <f t="shared" ca="1" si="166"/>
        <v>-178434714.92063493</v>
      </c>
      <c r="EJ185" s="2"/>
      <c r="EK185" s="16">
        <f t="shared" ca="1" si="153"/>
        <v>0</v>
      </c>
      <c r="EL185" s="32" t="str">
        <f>IF(VLOOKUP(BP185,Fundamentus!A:U,3,FALSE)&lt;15,"Bom",IF(VLOOKUP(BP185,Fundamentus!A:U,3,FALSE)&gt;15,"Ruim","n/a"))</f>
        <v>Bom</v>
      </c>
      <c r="EM185" s="28" t="str">
        <f>IF(VLOOKUP(BP185,Fundamentus!A:U,4,FALSE)&lt;1,"Baixo",IF(VLOOKUP(BP185,Fundamentus!A:U,4,FALSE)&lt;1.5,"Moderado",IF(VLOOKUP(BP185,Fundamentus!A:U,4,FALSE)&gt;1.5,"Alto","n/a")))</f>
        <v>Baixo</v>
      </c>
      <c r="EN185" s="17" t="str">
        <f>IF(VLOOKUP(BP185,Fundamentus!A:U,8,FALSE)&lt;0,"Risco elevado",IF(VLOOKUP(BP185,Fundamentus!A:U,8,FALSE)&lt;1,"Saudável",IF(VLOOKUP(BP185,Fundamentus!A:U,8,FALSE)&lt;3,"Estável",IF(VLOOKUP(BP185,Fundamentus!A:U,8,FALSE)&gt;3,"Alerta","n/a"))))</f>
        <v>Saudável</v>
      </c>
      <c r="EO185" s="28" t="str">
        <f t="shared" si="167"/>
        <v>Ruim</v>
      </c>
      <c r="EP185" s="17" t="str">
        <f>IF(VLOOKUP(BP185,Fundamentus!A:U,12,FALSE)&lt;2,"Subvalorizada",IF(VLOOKUP(BP185,Fundamentus!A:U,12,FALSE)&lt;6,"Muita barata",IF(VLOOKUP(BP185,Fundamentus!A:U,12,FALSE)&lt;6,"Barata",IF(VLOOKUP(BP185,Fundamentus!A:U,12,FALSE)&lt;8,"Atrativa",IF(VLOOKUP(BP185,Fundamentus!A:U,12,FALSE)&gt;8,"Supervalorizada","n/a")))))</f>
        <v>Subvalorizada</v>
      </c>
      <c r="EQ185" s="2"/>
      <c r="ER185" s="17" t="str">
        <f>IF(VLOOKUP(BP185,Fundamentus!A:U,17,FALSE)&lt;0.1,"Fraco retorno",IF(VLOOKUP(BP185,Fundamentus!A:U,17,FALSE)&gt;0.1,"Bom retorno","n/a"))</f>
        <v>Fraco retorno</v>
      </c>
      <c r="ES185" s="17" t="str">
        <f>IF(VLOOKUP(BP185,Fundamentus!A:U,16,FALSE)&lt;0.1,"Ineficiente",IF(VLOOKUP(BP185,Fundamentus!A:U,16,FALSE)&gt;0.1,"Eficiente","n/a"))</f>
        <v>Ineficiente</v>
      </c>
      <c r="ET185" s="33" t="str">
        <f>IF(VLOOKUP(BP185,Fundamentus!A:U,16,FALSE)&lt;0.1,"Oper. Ineficiente",IF(VLOOKUP(BP185,Fundamentus!A:U,16,FALSE)&gt;0.1,"Oper.Eficiente","n/a"))</f>
        <v>Oper. Ineficiente</v>
      </c>
      <c r="EU185" s="34">
        <f>VLOOKUP(BP185,Fundamentus!A:U,14,FALSE)</f>
        <v>-5.4800000000000001E-2</v>
      </c>
      <c r="EV185" s="17" t="str">
        <f>IF(VLOOKUP(BP185,Fundamentus!A:U,21,FALSE)&lt;0,"Negativo",IF(VLOOKUP(BP185,Fundamentus!A:U,21,FALSE)&lt;0.05,"Fraco",IF(VLOOKUP(BP185,Fundamentus!A:U,21,FALSE)&lt;0.1,"Bom",IF(VLOOKUP(BP185,Fundamentus!A:U,21,FALSE)&gt;0.1,"Muito bom","n/a"))))</f>
        <v>Negativo</v>
      </c>
      <c r="EX185" s="29" t="str">
        <f>IF(VLOOKUP(BP185,Fundamentus!A:U,15,FALSE)&gt;1,"Bom",IF(VLOOKUP(BP185,Fundamentus!A:U,15,FALSE)&lt;1,"Ruim","n/a"))</f>
        <v>Bom</v>
      </c>
      <c r="EY185" s="17" t="str">
        <f>IF(VLOOKUP(BP185,Fundamentus!A:U,20,FALSE)&lt;0.5,"Baixa",IF(VLOOKUP(BP185,Fundamentus!A:U,20,FALSE)&lt;1,"Moderada",IF(VLOOKUP(BP185,Fundamentus!A:U,20,FALSE)&lt;2,"Alerta",IF(VLOOKUP(BP185,Fundamentus!A:U,20,FALSE)&gt;2,"Alta","n/a"))))</f>
        <v>Baixa</v>
      </c>
      <c r="EZ185" s="10"/>
    </row>
    <row r="186" spans="1:156" s="2" customFormat="1" ht="11.25" x14ac:dyDescent="0.2">
      <c r="A186" s="4">
        <v>15.7</v>
      </c>
      <c r="B186" s="4">
        <v>14.16</v>
      </c>
      <c r="C186" s="4">
        <v>13.8</v>
      </c>
      <c r="D186" s="4">
        <v>13.81</v>
      </c>
      <c r="E186" s="4">
        <v>13.67</v>
      </c>
      <c r="F186" s="4">
        <v>14.56</v>
      </c>
      <c r="G186" s="4">
        <v>14.31</v>
      </c>
      <c r="H186" s="4">
        <v>14.73</v>
      </c>
      <c r="I186" s="4">
        <v>14.99</v>
      </c>
      <c r="J186" s="4">
        <v>15.55</v>
      </c>
      <c r="K186" s="4">
        <v>16.350000000000001</v>
      </c>
      <c r="L186" s="4">
        <v>16.149999999999999</v>
      </c>
      <c r="M186" s="4">
        <v>15.64</v>
      </c>
      <c r="N186" s="4">
        <v>14.85</v>
      </c>
      <c r="O186" s="4">
        <v>15.44</v>
      </c>
      <c r="P186" s="4">
        <v>15.52</v>
      </c>
      <c r="Q186" s="4">
        <v>15.98</v>
      </c>
      <c r="R186" s="4">
        <v>15.65</v>
      </c>
      <c r="S186" s="4">
        <v>16.28</v>
      </c>
      <c r="T186" s="4">
        <v>16.25</v>
      </c>
      <c r="U186" s="4">
        <v>15.78</v>
      </c>
      <c r="V186" s="4">
        <v>15.54</v>
      </c>
      <c r="W186" s="4">
        <v>15.6</v>
      </c>
      <c r="X186" s="4">
        <v>15</v>
      </c>
      <c r="Y186" s="4">
        <v>14.4</v>
      </c>
      <c r="Z186" s="4">
        <v>14.26</v>
      </c>
      <c r="AA186" s="4">
        <v>14.21</v>
      </c>
      <c r="AB186" s="4">
        <v>14.06</v>
      </c>
      <c r="AC186" s="4">
        <v>14</v>
      </c>
      <c r="AD186" s="4">
        <v>13.92</v>
      </c>
      <c r="AE186" s="4">
        <v>13.44</v>
      </c>
      <c r="AF186" s="4">
        <v>13.77</v>
      </c>
      <c r="AG186" s="4">
        <v>13.81</v>
      </c>
      <c r="AH186" s="4">
        <v>13.89</v>
      </c>
      <c r="AI186" s="4">
        <v>13.65</v>
      </c>
      <c r="AJ186" s="4">
        <v>13.31</v>
      </c>
      <c r="AK186" s="4">
        <v>13.33</v>
      </c>
      <c r="AL186" s="4">
        <v>13.41</v>
      </c>
      <c r="AM186" s="4">
        <v>13.6</v>
      </c>
      <c r="AN186" s="4">
        <v>13.41</v>
      </c>
      <c r="AO186" s="4">
        <v>13.35</v>
      </c>
      <c r="AP186" s="4">
        <v>13.5</v>
      </c>
      <c r="AQ186" s="4">
        <v>13.35</v>
      </c>
      <c r="AR186" s="4">
        <v>12.25</v>
      </c>
      <c r="AS186" s="4">
        <v>12.97</v>
      </c>
      <c r="AT186" s="4">
        <v>12.95</v>
      </c>
      <c r="AU186" s="4">
        <v>12.785</v>
      </c>
      <c r="AV186" s="4">
        <v>12.3</v>
      </c>
      <c r="AW186" s="4">
        <v>12.1</v>
      </c>
      <c r="AX186" s="4">
        <v>12.35</v>
      </c>
      <c r="AY186" s="12">
        <v>12.54</v>
      </c>
      <c r="AZ186" s="12">
        <v>12.5</v>
      </c>
      <c r="BA186" s="12">
        <v>12.57</v>
      </c>
      <c r="BB186" s="15">
        <v>13.75</v>
      </c>
      <c r="BC186" s="52">
        <v>15.28</v>
      </c>
      <c r="BD186" s="52">
        <v>17.989999999999998</v>
      </c>
      <c r="BE186" s="52">
        <v>18.79</v>
      </c>
      <c r="BF186" s="52">
        <v>18.8</v>
      </c>
      <c r="BG186" s="67">
        <v>18.399999999999999</v>
      </c>
      <c r="BH186" s="52">
        <v>18.39</v>
      </c>
      <c r="BI186" s="52">
        <v>18.7</v>
      </c>
      <c r="BJ186" s="52">
        <v>18.760000000000002</v>
      </c>
      <c r="BK186" s="52">
        <v>17.170000000000002</v>
      </c>
      <c r="BL186" s="52">
        <v>17.18</v>
      </c>
      <c r="BM186" s="52">
        <v>17.2</v>
      </c>
      <c r="BN186" s="52">
        <v>17.399999999999999</v>
      </c>
      <c r="BO186" s="52" cm="1">
        <f t="array" aca="1" ref="BO186" ca="1">_FV(EC186,"Preço")</f>
        <v>17.399999999999999</v>
      </c>
      <c r="BP186" s="69" t="s">
        <v>11</v>
      </c>
      <c r="BQ186" s="36" cm="1">
        <f t="array" aca="1" ref="BQ186" ca="1">_FV(EC186,"Média de volume",TRUE)</f>
        <v>37270</v>
      </c>
      <c r="BR186" s="36">
        <v>45000</v>
      </c>
      <c r="BS186" s="36" cm="1">
        <f t="array" aca="1" ref="BS186" ca="1">_FV(EC186,"Volume")</f>
        <v>45000</v>
      </c>
      <c r="BT186" s="24" cm="1">
        <f t="array" aca="1" ref="BT186" ca="1">_FV(EC186,"Beta")</f>
        <v>1.0286999999999999</v>
      </c>
      <c r="BU186" s="71" cm="1">
        <f t="array" aca="1" ref="BU186" ca="1">_FV(EC186,"Variação (%)",TRUE)</f>
        <v>-1.2485999999999999E-2</v>
      </c>
      <c r="BW186" s="17" cm="1">
        <f t="array" aca="1" ref="BW186" ca="1">_FV(EC186,"Baixo")</f>
        <v>17.059999999999999</v>
      </c>
      <c r="BX186" s="17" cm="1">
        <f t="array" aca="1" ref="BX186" ca="1">_FV(EC186,"Alto")</f>
        <v>17.93</v>
      </c>
      <c r="BY186" s="24"/>
      <c r="BZ186" s="17">
        <f ca="1">SQRT(22.5*(BO186/VLOOKUP(BP186,Fundamentus!A:U,3,FALSE))*(BO186/VLOOKUP(BP186,Fundamentus!A:U,4,FALSE)))</f>
        <v>41.538607668669776</v>
      </c>
      <c r="CB186" s="62">
        <f t="shared" ca="1" si="168"/>
        <v>0</v>
      </c>
      <c r="CC186" s="8"/>
      <c r="CD186" s="61">
        <f t="shared" si="169"/>
        <v>12.1</v>
      </c>
      <c r="CE186" s="61">
        <f t="shared" si="170"/>
        <v>18.8</v>
      </c>
      <c r="CF186" s="61">
        <f t="shared" si="171"/>
        <v>14.83492424242424</v>
      </c>
      <c r="CG186" s="14"/>
      <c r="CH186" s="35">
        <f t="shared" si="154"/>
        <v>16.185339884358246</v>
      </c>
      <c r="CI186" s="15">
        <f t="shared" si="172"/>
        <v>17.414999999999964</v>
      </c>
      <c r="CJ186" s="35">
        <f t="shared" si="155"/>
        <v>18.644660115641681</v>
      </c>
      <c r="CL186" s="14"/>
      <c r="CM186" s="17">
        <f t="shared" si="156"/>
        <v>6.699999999999994</v>
      </c>
      <c r="CN186" s="17">
        <f t="shared" si="157"/>
        <v>9.3999999999999968</v>
      </c>
      <c r="CO186" s="17">
        <f t="shared" si="158"/>
        <v>13.399999999999995</v>
      </c>
      <c r="CP186" s="38">
        <f t="shared" si="173"/>
        <v>16.099999999999998</v>
      </c>
      <c r="CQ186" s="17">
        <f t="shared" si="159"/>
        <v>20.099999999999994</v>
      </c>
      <c r="CR186" s="17">
        <f t="shared" si="160"/>
        <v>22.799999999999997</v>
      </c>
      <c r="CS186" s="17">
        <f t="shared" si="161"/>
        <v>26.799999999999997</v>
      </c>
      <c r="CT186" s="2" cm="1">
        <f t="array" aca="1" ref="CT186" ca="1">MAX(_xlfn._xlws.FILTER(CM186:CS186,CM186:CS186&lt;BO186))</f>
        <v>16.099999999999998</v>
      </c>
      <c r="CU186" s="2" cm="1">
        <f t="array" aca="1" ref="CU186" ca="1">MIN(_xlfn._xlws.FILTER($CM186:$CS186,$CM186:$CS186&gt;BO186))</f>
        <v>20.099999999999994</v>
      </c>
      <c r="CV186" s="16">
        <f t="shared" ca="1" si="192"/>
        <v>0.2484472049689439</v>
      </c>
      <c r="CW186" s="20">
        <f t="shared" ca="1" si="193"/>
        <v>-0.12422360248447195</v>
      </c>
      <c r="CX186" s="20">
        <f t="shared" ca="1" si="194"/>
        <v>-8.2815734989647963E-2</v>
      </c>
      <c r="CY186" s="20">
        <f t="shared" ca="1" si="195"/>
        <v>-4.9689440993788782E-2</v>
      </c>
      <c r="CZ186" s="20">
        <f t="shared" ca="1" si="196"/>
        <v>-2.7605244996549323E-2</v>
      </c>
      <c r="DA186" s="20">
        <f t="shared" ca="1" si="197"/>
        <v>-1.4614541468761406E-2</v>
      </c>
      <c r="DB186" s="20">
        <f t="shared" ca="1" si="198"/>
        <v>-7.5287031808770879E-3</v>
      </c>
      <c r="DC186" s="20">
        <f t="shared" ca="1" si="199"/>
        <v>-3.822264691829906E-3</v>
      </c>
      <c r="DD186" s="21">
        <f t="shared" ca="1" si="200"/>
        <v>3.822264691829906E-3</v>
      </c>
      <c r="DE186" s="21">
        <f t="shared" ca="1" si="201"/>
        <v>7.5287031808770879E-3</v>
      </c>
      <c r="DF186" s="21">
        <f t="shared" ca="1" si="202"/>
        <v>1.4614541468761406E-2</v>
      </c>
      <c r="DG186" s="21">
        <f t="shared" ca="1" si="203"/>
        <v>2.7605244996549323E-2</v>
      </c>
      <c r="DH186" s="21">
        <f t="shared" ca="1" si="204"/>
        <v>4.9689440993788782E-2</v>
      </c>
      <c r="DI186" s="21">
        <f t="shared" ca="1" si="205"/>
        <v>8.2815734989647963E-2</v>
      </c>
      <c r="DJ186" s="21">
        <f t="shared" ca="1" si="206"/>
        <v>0.12422360248447195</v>
      </c>
      <c r="DL186" s="16" cm="1">
        <f t="array" aca="1" ref="DL186" ca="1">MAX(_xlfn._xlws.FILTER(CW186:DJ186,CW186:DJ186&lt;BU186))</f>
        <v>-1.4614541468761406E-2</v>
      </c>
      <c r="DM186" s="16" cm="1">
        <f t="array" aca="1" ref="DM186" ca="1">MIN(_xlfn._xlws.FILTER(CW186:DJ186,CW186:DJ186&gt;BU186))</f>
        <v>-7.5287031808770879E-3</v>
      </c>
      <c r="DN186" s="2" cm="1">
        <f t="array" aca="1" ref="DN186" ca="1">_FV(EC186,"Fechamento anterior",TRUE)</f>
        <v>17.62</v>
      </c>
      <c r="DO186" s="28">
        <f t="shared" ca="1" si="162"/>
        <v>0.30042033200905582</v>
      </c>
      <c r="DP186" s="15">
        <f t="shared" ca="1" si="207"/>
        <v>17.362491779320425</v>
      </c>
      <c r="DQ186" s="15">
        <f t="shared" ca="1" si="208"/>
        <v>17.487344249952947</v>
      </c>
      <c r="DR186" s="9"/>
      <c r="DS186" s="9"/>
      <c r="DT186" s="9"/>
      <c r="DU186" s="89">
        <v>1.2810892521179297E-2</v>
      </c>
      <c r="DV186" s="89">
        <f t="shared" ca="1" si="163"/>
        <v>7.0858382878843185E-3</v>
      </c>
      <c r="DW186" s="75">
        <f t="shared" ca="1" si="164"/>
        <v>-1.2198492745401484E-2</v>
      </c>
      <c r="DX186" s="37"/>
      <c r="DY186" s="35">
        <f t="shared" si="174"/>
        <v>0.61483005782085887</v>
      </c>
      <c r="DZ186" s="56"/>
      <c r="EA186" s="56"/>
      <c r="EC186" s="2" t="e" vm="188">
        <v>#VALUE!</v>
      </c>
      <c r="EE186" s="10" cm="1">
        <f t="array" aca="1" ref="EE186" ca="1">_FV(EC186,"Ações em circulação",TRUE)</f>
        <v>92619260</v>
      </c>
      <c r="EF186" s="18">
        <f>VLOOKUP(BP186,Fundamentus!A:U,5,FALSE)</f>
        <v>0.53500000000000003</v>
      </c>
      <c r="EG186" s="2">
        <f t="shared" ca="1" si="165"/>
        <v>3012289951.4018683</v>
      </c>
      <c r="EH186" s="17">
        <v>244899173.04897189</v>
      </c>
      <c r="EI186" s="17">
        <f t="shared" ca="1" si="166"/>
        <v>244899173.04897189</v>
      </c>
      <c r="EK186" s="16">
        <f t="shared" ca="1" si="153"/>
        <v>0</v>
      </c>
      <c r="EL186" s="32" t="str">
        <f>IF(VLOOKUP(BP186,Fundamentus!A:U,3,FALSE)&lt;15,"Bom",IF(VLOOKUP(BP186,Fundamentus!A:U,3,FALSE)&gt;15,"Ruim","n/a"))</f>
        <v>Bom</v>
      </c>
      <c r="EM186" s="28" t="str">
        <f>IF(VLOOKUP(BP186,Fundamentus!A:U,4,FALSE)&lt;1,"Baixo",IF(VLOOKUP(BP186,Fundamentus!A:U,4,FALSE)&lt;1.5,"Moderado",IF(VLOOKUP(BP186,Fundamentus!A:U,4,FALSE)&gt;1.5,"Alto","n/a")))</f>
        <v>Baixo</v>
      </c>
      <c r="EN186" s="17" t="str">
        <f>IF(VLOOKUP(BP186,Fundamentus!A:U,8,FALSE)&lt;0,"Risco elevado",IF(VLOOKUP(BP186,Fundamentus!A:U,8,FALSE)&lt;1,"Saudável",IF(VLOOKUP(BP186,Fundamentus!A:U,8,FALSE)&lt;3,"Estável",IF(VLOOKUP(BP186,Fundamentus!A:U,8,FALSE)&gt;3,"Alerta","n/a"))))</f>
        <v>Estável</v>
      </c>
      <c r="EO186" s="28" t="str">
        <f t="shared" si="167"/>
        <v>Ruim</v>
      </c>
      <c r="EP186" s="17" t="str">
        <f>IF(VLOOKUP(BP186,Fundamentus!A:U,12,FALSE)&lt;2,"Subvalorizada",IF(VLOOKUP(BP186,Fundamentus!A:U,12,FALSE)&lt;6,"Muita barata",IF(VLOOKUP(BP186,Fundamentus!A:U,12,FALSE)&lt;6,"Barata",IF(VLOOKUP(BP186,Fundamentus!A:U,12,FALSE)&lt;8,"Atrativa",IF(VLOOKUP(BP186,Fundamentus!A:U,12,FALSE)&gt;8,"Supervalorizada","n/a")))))</f>
        <v>Muita barata</v>
      </c>
      <c r="ER186" s="17" t="str">
        <f>IF(VLOOKUP(BP186,Fundamentus!A:U,17,FALSE)&lt;0.1,"Fraco retorno",IF(VLOOKUP(BP186,Fundamentus!A:U,17,FALSE)&gt;0.1,"Bom retorno","n/a"))</f>
        <v>Fraco retorno</v>
      </c>
      <c r="ES186" s="17" t="str">
        <f>IF(VLOOKUP(BP186,Fundamentus!A:U,16,FALSE)&lt;0.1,"Ineficiente",IF(VLOOKUP(BP186,Fundamentus!A:U,16,FALSE)&gt;0.1,"Eficiente","n/a"))</f>
        <v>Eficiente</v>
      </c>
      <c r="ET186" s="33" t="str">
        <f>IF(VLOOKUP(BP186,Fundamentus!A:U,16,FALSE)&lt;0.1,"Oper. Ineficiente",IF(VLOOKUP(BP186,Fundamentus!A:U,16,FALSE)&gt;0.1,"Oper.Eficiente","n/a"))</f>
        <v>Oper.Eficiente</v>
      </c>
      <c r="EU186" s="34">
        <f>VLOOKUP(BP186,Fundamentus!A:U,14,FALSE)</f>
        <v>8.1299999999999997E-2</v>
      </c>
      <c r="EV186" s="17" t="str">
        <f>IF(VLOOKUP(BP186,Fundamentus!A:U,21,FALSE)&lt;0,"Negativo",IF(VLOOKUP(BP186,Fundamentus!A:U,21,FALSE)&lt;0.05,"Fraco",IF(VLOOKUP(BP186,Fundamentus!A:U,21,FALSE)&lt;0.1,"Bom",IF(VLOOKUP(BP186,Fundamentus!A:U,21,FALSE)&gt;0.1,"Muito bom","n/a"))))</f>
        <v>Bom</v>
      </c>
      <c r="EX186" s="29" t="str">
        <f>IF(VLOOKUP(BP186,Fundamentus!A:U,15,FALSE)&gt;1,"Bom",IF(VLOOKUP(BP186,Fundamentus!A:U,15,FALSE)&lt;1,"Ruim","n/a"))</f>
        <v>Bom</v>
      </c>
      <c r="EY186" s="17" t="str">
        <f>IF(VLOOKUP(BP186,Fundamentus!A:U,20,FALSE)&lt;0.5,"Baixa",IF(VLOOKUP(BP186,Fundamentus!A:U,20,FALSE)&lt;1,"Moderada",IF(VLOOKUP(BP186,Fundamentus!A:U,20,FALSE)&lt;2,"Alerta",IF(VLOOKUP(BP186,Fundamentus!A:U,20,FALSE)&gt;2,"Alta","n/a"))))</f>
        <v>Baixa</v>
      </c>
      <c r="EZ186" s="10">
        <v>1</v>
      </c>
    </row>
    <row r="187" spans="1:156" s="2" customFormat="1" ht="11.25" x14ac:dyDescent="0.2">
      <c r="A187" s="4">
        <v>11.39</v>
      </c>
      <c r="B187" s="4">
        <v>11.21</v>
      </c>
      <c r="C187" s="4">
        <v>11.42</v>
      </c>
      <c r="D187" s="4">
        <v>11.15</v>
      </c>
      <c r="E187" s="4">
        <v>10.67</v>
      </c>
      <c r="F187" s="4">
        <v>10.75</v>
      </c>
      <c r="G187" s="4">
        <v>10.37</v>
      </c>
      <c r="H187" s="4">
        <v>10.39</v>
      </c>
      <c r="I187" s="4">
        <v>10.24</v>
      </c>
      <c r="J187" s="4">
        <v>10.52</v>
      </c>
      <c r="K187" s="4">
        <v>11.51</v>
      </c>
      <c r="L187" s="4">
        <v>11.17</v>
      </c>
      <c r="M187" s="4">
        <v>10.95</v>
      </c>
      <c r="N187" s="4">
        <v>10.86</v>
      </c>
      <c r="O187" s="4">
        <v>12.02</v>
      </c>
      <c r="P187" s="4">
        <v>12.5</v>
      </c>
      <c r="Q187" s="4">
        <v>12.74</v>
      </c>
      <c r="R187" s="4">
        <v>12.68</v>
      </c>
      <c r="S187" s="4">
        <v>12.23</v>
      </c>
      <c r="T187" s="4">
        <v>12.13</v>
      </c>
      <c r="U187" s="4">
        <v>11.6</v>
      </c>
      <c r="V187" s="4">
        <v>10.73</v>
      </c>
      <c r="W187" s="4">
        <v>10.75</v>
      </c>
      <c r="X187" s="4">
        <v>10.69</v>
      </c>
      <c r="Y187" s="4">
        <v>10.58</v>
      </c>
      <c r="Z187" s="4">
        <v>10.71</v>
      </c>
      <c r="AA187" s="4">
        <v>10.42</v>
      </c>
      <c r="AB187" s="4">
        <v>10.3</v>
      </c>
      <c r="AC187" s="4">
        <v>10.27</v>
      </c>
      <c r="AD187" s="4">
        <v>10.02</v>
      </c>
      <c r="AE187" s="4">
        <v>9.26</v>
      </c>
      <c r="AF187" s="4">
        <v>9.93</v>
      </c>
      <c r="AG187" s="4">
        <v>10.220000000000001</v>
      </c>
      <c r="AH187" s="4">
        <v>10.26</v>
      </c>
      <c r="AI187" s="4">
        <v>10.36</v>
      </c>
      <c r="AJ187" s="4">
        <v>10.1</v>
      </c>
      <c r="AK187" s="4">
        <v>9.8000000000000007</v>
      </c>
      <c r="AL187" s="4">
        <v>10.35</v>
      </c>
      <c r="AM187" s="4">
        <v>10.37</v>
      </c>
      <c r="AN187" s="4">
        <v>11.19</v>
      </c>
      <c r="AO187" s="4">
        <v>10.96</v>
      </c>
      <c r="AP187" s="4">
        <v>11.59</v>
      </c>
      <c r="AQ187" s="4">
        <v>11.22</v>
      </c>
      <c r="AR187" s="4">
        <v>10.4</v>
      </c>
      <c r="AS187" s="4">
        <v>10.7</v>
      </c>
      <c r="AT187" s="4">
        <v>12.87</v>
      </c>
      <c r="AU187" s="4">
        <v>12.45</v>
      </c>
      <c r="AV187" s="4">
        <v>12.24</v>
      </c>
      <c r="AW187" s="4">
        <v>12.05</v>
      </c>
      <c r="AX187" s="4">
        <v>11.94</v>
      </c>
      <c r="AY187" s="12">
        <v>12.18</v>
      </c>
      <c r="AZ187" s="12">
        <v>13.39</v>
      </c>
      <c r="BA187" s="12">
        <v>13.49</v>
      </c>
      <c r="BB187" s="15">
        <v>14.25</v>
      </c>
      <c r="BC187" s="52">
        <v>14.77</v>
      </c>
      <c r="BD187" s="52">
        <v>14.39</v>
      </c>
      <c r="BE187" s="52">
        <v>13.95</v>
      </c>
      <c r="BF187" s="52">
        <v>13.57</v>
      </c>
      <c r="BG187" s="67">
        <v>13.05</v>
      </c>
      <c r="BH187" s="52">
        <v>13.62</v>
      </c>
      <c r="BI187" s="52">
        <v>14.12</v>
      </c>
      <c r="BJ187" s="52">
        <v>14.71</v>
      </c>
      <c r="BK187" s="52">
        <v>13.71</v>
      </c>
      <c r="BL187" s="52">
        <v>12.97</v>
      </c>
      <c r="BM187" s="52">
        <v>13.07</v>
      </c>
      <c r="BN187" s="52">
        <v>12.59</v>
      </c>
      <c r="BO187" s="52" cm="1">
        <f t="array" aca="1" ref="BO187" ca="1">_FV(EC187,"Preço")</f>
        <v>12.59</v>
      </c>
      <c r="BP187" s="69" t="s">
        <v>183</v>
      </c>
      <c r="BQ187" s="36" cm="1">
        <f t="array" aca="1" ref="BQ187" ca="1">_FV(EC187,"Média de volume",TRUE)</f>
        <v>21492130</v>
      </c>
      <c r="BR187" s="36">
        <v>22195800</v>
      </c>
      <c r="BS187" s="36" cm="1">
        <f t="array" aca="1" ref="BS187" ca="1">_FV(EC187,"Volume")</f>
        <v>22195800</v>
      </c>
      <c r="BT187" s="24" cm="1">
        <f t="array" aca="1" ref="BT187" ca="1">_FV(EC187,"Beta")</f>
        <v>1.5048999999999999</v>
      </c>
      <c r="BU187" s="71" cm="1">
        <f t="array" aca="1" ref="BU187" ca="1">_FV(EC187,"Variação (%)",TRUE)</f>
        <v>7.9490000000000008E-4</v>
      </c>
      <c r="BW187" s="17" cm="1">
        <f t="array" aca="1" ref="BW187" ca="1">_FV(EC187,"Baixo")</f>
        <v>12.42</v>
      </c>
      <c r="BX187" s="17" cm="1">
        <f t="array" aca="1" ref="BX187" ca="1">_FV(EC187,"Alto")</f>
        <v>12.91</v>
      </c>
      <c r="BY187" s="24"/>
      <c r="BZ187" s="63">
        <f ca="1">SQRT(22.5*(BO187/VLOOKUP(BP187,Fundamentus!A:U,3,FALSE))*(BO187/VLOOKUP(BP187,Fundamentus!A:U,4,FALSE)))</f>
        <v>7.9892906506567369</v>
      </c>
      <c r="CB187" s="62">
        <f t="shared" ca="1" si="168"/>
        <v>0</v>
      </c>
      <c r="CC187" s="8"/>
      <c r="CD187" s="61">
        <f t="shared" si="169"/>
        <v>9.26</v>
      </c>
      <c r="CE187" s="61">
        <f t="shared" si="170"/>
        <v>14.77</v>
      </c>
      <c r="CF187" s="61">
        <f t="shared" si="171"/>
        <v>11.652424242424246</v>
      </c>
      <c r="CG187" s="14"/>
      <c r="CH187" s="35">
        <f t="shared" si="154"/>
        <v>10.783635307200802</v>
      </c>
      <c r="CI187" s="15">
        <f t="shared" si="172"/>
        <v>12.269999999999982</v>
      </c>
      <c r="CJ187" s="35">
        <f t="shared" si="155"/>
        <v>13.756364692799162</v>
      </c>
      <c r="CL187" s="14"/>
      <c r="CM187" s="17">
        <f t="shared" si="156"/>
        <v>4.1333333333333382</v>
      </c>
      <c r="CN187" s="17">
        <f t="shared" si="157"/>
        <v>6.696666666666669</v>
      </c>
      <c r="CO187" s="17">
        <f t="shared" si="158"/>
        <v>9.643333333333338</v>
      </c>
      <c r="CP187" s="38">
        <f t="shared" si="173"/>
        <v>12.206666666666669</v>
      </c>
      <c r="CQ187" s="17">
        <f t="shared" si="159"/>
        <v>15.153333333333338</v>
      </c>
      <c r="CR187" s="17">
        <f t="shared" si="160"/>
        <v>17.716666666666669</v>
      </c>
      <c r="CS187" s="17">
        <f t="shared" si="161"/>
        <v>20.663333333333338</v>
      </c>
      <c r="CT187" s="2" cm="1">
        <f t="array" aca="1" ref="CT187" ca="1">MAX(_xlfn._xlws.FILTER(CM187:CS187,CM187:CS187&lt;BO187))</f>
        <v>12.206666666666669</v>
      </c>
      <c r="CU187" s="2" cm="1">
        <f t="array" aca="1" ref="CU187" ca="1">MIN(_xlfn._xlws.FILTER($CM187:$CS187,$CM187:$CS187&gt;BO187))</f>
        <v>15.153333333333338</v>
      </c>
      <c r="CV187" s="16">
        <f t="shared" ref="CV187:CV205" ca="1" si="209">(CU187/CT187)-1</f>
        <v>0.24139814309120711</v>
      </c>
      <c r="CW187" s="20">
        <f t="shared" ref="CW187:CW205" ca="1" si="210">-$CV187/2</f>
        <v>-0.12069907154560355</v>
      </c>
      <c r="CX187" s="20">
        <f t="shared" ref="CX187:CX205" ca="1" si="211">-$CV187/3</f>
        <v>-8.046604769706904E-2</v>
      </c>
      <c r="CY187" s="20">
        <f t="shared" ref="CY187:CY205" ca="1" si="212">-$CV187/5</f>
        <v>-4.8279628618241421E-2</v>
      </c>
      <c r="CZ187" s="20">
        <f t="shared" ref="CZ187:CZ205" ca="1" si="213">-$CV187/9</f>
        <v>-2.6822015899023013E-2</v>
      </c>
      <c r="DA187" s="20">
        <f t="shared" ref="DA187:DA205" ca="1" si="214">-$CV187/17</f>
        <v>-1.4199890770071007E-2</v>
      </c>
      <c r="DB187" s="20">
        <f t="shared" ref="DB187:DB205" ca="1" si="215">-$CV187/33</f>
        <v>-7.3150952451880944E-3</v>
      </c>
      <c r="DC187" s="20">
        <f t="shared" ref="DC187:DC205" ca="1" si="216">-$CV187/65</f>
        <v>-3.7138175860185708E-3</v>
      </c>
      <c r="DD187" s="21">
        <f t="shared" ref="DD187:DD205" ca="1" si="217">-$CV187/65*-1</f>
        <v>3.7138175860185708E-3</v>
      </c>
      <c r="DE187" s="21">
        <f t="shared" ref="DE187:DE205" ca="1" si="218">-$CV187/33*-1</f>
        <v>7.3150952451880944E-3</v>
      </c>
      <c r="DF187" s="21">
        <f t="shared" ref="DF187:DF205" ca="1" si="219">-$CV187/17*-1</f>
        <v>1.4199890770071007E-2</v>
      </c>
      <c r="DG187" s="21">
        <f t="shared" ref="DG187:DG205" ca="1" si="220">-$CV187/9*-1</f>
        <v>2.6822015899023013E-2</v>
      </c>
      <c r="DH187" s="21">
        <f t="shared" ref="DH187:DH205" ca="1" si="221">-$CV187/5*-1</f>
        <v>4.8279628618241421E-2</v>
      </c>
      <c r="DI187" s="21">
        <f t="shared" ref="DI187:DI205" ca="1" si="222">-$CV187/3*-1</f>
        <v>8.046604769706904E-2</v>
      </c>
      <c r="DJ187" s="21">
        <f t="shared" ref="DJ187:DJ205" ca="1" si="223">-$CV187/2*-1</f>
        <v>0.12069907154560355</v>
      </c>
      <c r="DL187" s="16" cm="1">
        <f t="array" aca="1" ref="DL187" ca="1">MAX(_xlfn._xlws.FILTER(CW187:DJ187,CW187:DJ187&lt;BU187))</f>
        <v>-3.7138175860185708E-3</v>
      </c>
      <c r="DM187" s="16" cm="1">
        <f t="array" aca="1" ref="DM187" ca="1">MIN(_xlfn._xlws.FILTER(CW187:DJ187,CW187:DJ187&gt;BU187))</f>
        <v>3.7138175860185708E-3</v>
      </c>
      <c r="DN187" s="2" cm="1">
        <f t="array" aca="1" ref="DN187" ca="1">_FV(EC187,"Fechamento anterior",TRUE)</f>
        <v>12.58</v>
      </c>
      <c r="DO187" s="28">
        <f t="shared" ca="1" si="162"/>
        <v>0.6070209482839225</v>
      </c>
      <c r="DP187" s="15">
        <f t="shared" ref="DP187:DP205" ca="1" si="224">DN187+(DN187*DL187)</f>
        <v>12.533280174767887</v>
      </c>
      <c r="DQ187" s="15">
        <f t="shared" ref="DQ187:DQ205" ca="1" si="225">DN187+(DN187*DM187)</f>
        <v>12.626719825232113</v>
      </c>
      <c r="DR187" s="9"/>
      <c r="DS187" s="9"/>
      <c r="DT187" s="9"/>
      <c r="DU187" s="89">
        <v>7.6673596673596713E-3</v>
      </c>
      <c r="DV187" s="89">
        <f t="shared" ca="1" si="163"/>
        <v>7.4276351720371416E-3</v>
      </c>
      <c r="DW187" s="72">
        <f t="shared" ca="1" si="164"/>
        <v>0.21529036685968475</v>
      </c>
      <c r="DX187" s="37"/>
      <c r="DY187" s="35">
        <f t="shared" si="174"/>
        <v>0.74318234639959024</v>
      </c>
      <c r="DZ187" s="56"/>
      <c r="EA187" s="56"/>
      <c r="EC187" s="2" t="e" vm="189">
        <v>#VALUE!</v>
      </c>
      <c r="EE187" s="10" cm="1">
        <f t="array" aca="1" ref="EE187" ca="1">_FV(EC187,"Ações em circulação",TRUE)</f>
        <v>5426500000</v>
      </c>
      <c r="EF187" s="18">
        <f>VLOOKUP(BP187,Fundamentus!A:U,5,FALSE)</f>
        <v>6.5519999999999996</v>
      </c>
      <c r="EG187" s="2">
        <f t="shared" ca="1" si="165"/>
        <v>10427294719.16972</v>
      </c>
      <c r="EH187" s="17">
        <v>4584881488.0189257</v>
      </c>
      <c r="EI187" s="17">
        <f t="shared" ca="1" si="166"/>
        <v>4584881488.0189257</v>
      </c>
      <c r="EK187" s="16">
        <f t="shared" ca="1" si="153"/>
        <v>0</v>
      </c>
      <c r="EL187" s="32" t="str">
        <f>IF(VLOOKUP(BP187,Fundamentus!A:U,3,FALSE)&lt;15,"Bom",IF(VLOOKUP(BP187,Fundamentus!A:U,3,FALSE)&gt;15,"Ruim","n/a"))</f>
        <v>Bom</v>
      </c>
      <c r="EM187" s="28" t="str">
        <f>IF(VLOOKUP(BP187,Fundamentus!A:U,4,FALSE)&lt;1,"Baixo",IF(VLOOKUP(BP187,Fundamentus!A:U,4,FALSE)&lt;1.5,"Moderado",IF(VLOOKUP(BP187,Fundamentus!A:U,4,FALSE)&gt;1.5,"Alto","n/a")))</f>
        <v>Alto</v>
      </c>
      <c r="EN187" s="17" t="str">
        <f>IF(VLOOKUP(BP187,Fundamentus!A:U,8,FALSE)&lt;0,"Risco elevado",IF(VLOOKUP(BP187,Fundamentus!A:U,8,FALSE)&lt;1,"Saudável",IF(VLOOKUP(BP187,Fundamentus!A:U,8,FALSE)&lt;3,"Estável",IF(VLOOKUP(BP187,Fundamentus!A:U,8,FALSE)&gt;3,"Alerta","n/a"))))</f>
        <v>Alerta</v>
      </c>
      <c r="EO187" s="28" t="str">
        <f t="shared" si="167"/>
        <v>Bom</v>
      </c>
      <c r="EP187" s="17" t="str">
        <f>IF(VLOOKUP(BP187,Fundamentus!A:U,12,FALSE)&lt;2,"Subvalorizada",IF(VLOOKUP(BP187,Fundamentus!A:U,12,FALSE)&lt;6,"Muita barata",IF(VLOOKUP(BP187,Fundamentus!A:U,12,FALSE)&lt;6,"Barata",IF(VLOOKUP(BP187,Fundamentus!A:U,12,FALSE)&lt;8,"Atrativa",IF(VLOOKUP(BP187,Fundamentus!A:U,12,FALSE)&gt;8,"Supervalorizada","n/a")))))</f>
        <v>Supervalorizada</v>
      </c>
      <c r="ER187" s="17" t="str">
        <f>IF(VLOOKUP(BP187,Fundamentus!A:U,17,FALSE)&lt;0.1,"Fraco retorno",IF(VLOOKUP(BP187,Fundamentus!A:U,17,FALSE)&gt;0.1,"Bom retorno","n/a"))</f>
        <v>Bom retorno</v>
      </c>
      <c r="ES187" s="17" t="str">
        <f>IF(VLOOKUP(BP187,Fundamentus!A:U,16,FALSE)&lt;0.1,"Ineficiente",IF(VLOOKUP(BP187,Fundamentus!A:U,16,FALSE)&gt;0.1,"Eficiente","n/a"))</f>
        <v>Eficiente</v>
      </c>
      <c r="ET187" s="33" t="str">
        <f>IF(VLOOKUP(BP187,Fundamentus!A:U,16,FALSE)&lt;0.1,"Oper. Ineficiente",IF(VLOOKUP(BP187,Fundamentus!A:U,16,FALSE)&gt;0.1,"Oper.Eficiente","n/a"))</f>
        <v>Oper.Eficiente</v>
      </c>
      <c r="EU187" s="34">
        <f>VLOOKUP(BP187,Fundamentus!A:U,14,FALSE)</f>
        <v>0.43969999999999998</v>
      </c>
      <c r="EV187" s="17" t="str">
        <f>IF(VLOOKUP(BP187,Fundamentus!A:U,21,FALSE)&lt;0,"Negativo",IF(VLOOKUP(BP187,Fundamentus!A:U,21,FALSE)&lt;0.05,"Fraco",IF(VLOOKUP(BP187,Fundamentus!A:U,21,FALSE)&lt;0.1,"Bom",IF(VLOOKUP(BP187,Fundamentus!A:U,21,FALSE)&gt;0.1,"Muito bom","n/a"))))</f>
        <v>Fraco</v>
      </c>
      <c r="EX187" s="29" t="str">
        <f>IF(VLOOKUP(BP187,Fundamentus!A:U,15,FALSE)&gt;1,"Bom",IF(VLOOKUP(BP187,Fundamentus!A:U,15,FALSE)&lt;1,"Ruim","n/a"))</f>
        <v>Bom</v>
      </c>
      <c r="EY187" s="17" t="str">
        <f>IF(VLOOKUP(BP187,Fundamentus!A:U,20,FALSE)&lt;0.5,"Baixa",IF(VLOOKUP(BP187,Fundamentus!A:U,20,FALSE)&lt;1,"Moderada",IF(VLOOKUP(BP187,Fundamentus!A:U,20,FALSE)&lt;2,"Alerta",IF(VLOOKUP(BP187,Fundamentus!A:U,20,FALSE)&gt;2,"Alta","n/a"))))</f>
        <v>Moderada</v>
      </c>
      <c r="EZ187" s="10"/>
    </row>
    <row r="188" spans="1:156" s="2" customFormat="1" ht="11.25" x14ac:dyDescent="0.2">
      <c r="A188" s="4">
        <v>0.85</v>
      </c>
      <c r="B188" s="4">
        <v>0.72</v>
      </c>
      <c r="C188" s="4">
        <v>0.67</v>
      </c>
      <c r="D188" s="4">
        <v>0.7</v>
      </c>
      <c r="E188" s="4">
        <v>0.7</v>
      </c>
      <c r="F188" s="4">
        <v>0.56000000000000005</v>
      </c>
      <c r="G188" s="4">
        <v>0.54</v>
      </c>
      <c r="H188" s="4">
        <v>0.54</v>
      </c>
      <c r="I188" s="4">
        <v>0.61</v>
      </c>
      <c r="J188" s="4">
        <v>0.66</v>
      </c>
      <c r="K188" s="4">
        <v>0.67</v>
      </c>
      <c r="L188" s="4">
        <v>0.71</v>
      </c>
      <c r="M188" s="4">
        <v>0.71</v>
      </c>
      <c r="N188" s="4">
        <v>0.77</v>
      </c>
      <c r="O188" s="4">
        <v>0.73</v>
      </c>
      <c r="P188" s="4">
        <v>0.59</v>
      </c>
      <c r="Q188" s="4">
        <v>0.56999999999999995</v>
      </c>
      <c r="R188" s="4">
        <v>0.61</v>
      </c>
      <c r="S188" s="4">
        <v>0.63</v>
      </c>
      <c r="T188" s="4">
        <v>0.53</v>
      </c>
      <c r="U188" s="4">
        <v>0.46</v>
      </c>
      <c r="V188" s="4">
        <v>0.48</v>
      </c>
      <c r="W188" s="4">
        <v>0.49</v>
      </c>
      <c r="X188" s="4">
        <v>4.55</v>
      </c>
      <c r="Y188" s="4">
        <v>4.7699999999999996</v>
      </c>
      <c r="Z188" s="4">
        <v>5.3</v>
      </c>
      <c r="AA188" s="4">
        <v>5.61</v>
      </c>
      <c r="AB188" s="4">
        <v>6.41</v>
      </c>
      <c r="AC188" s="4">
        <v>6.4</v>
      </c>
      <c r="AD188" s="4">
        <v>6.63</v>
      </c>
      <c r="AE188" s="4">
        <v>6.01</v>
      </c>
      <c r="AF188" s="4">
        <v>6.47</v>
      </c>
      <c r="AG188" s="4">
        <v>6.72</v>
      </c>
      <c r="AH188" s="4">
        <v>8.18</v>
      </c>
      <c r="AI188" s="4">
        <v>8.2100000000000009</v>
      </c>
      <c r="AJ188" s="4">
        <v>8.16</v>
      </c>
      <c r="AK188" s="4">
        <v>8.2799999999999994</v>
      </c>
      <c r="AL188" s="4">
        <v>8.41</v>
      </c>
      <c r="AM188" s="4">
        <v>8.5</v>
      </c>
      <c r="AN188" s="4">
        <v>8.59</v>
      </c>
      <c r="AO188" s="4">
        <v>8.5500000000000007</v>
      </c>
      <c r="AP188" s="4">
        <v>8.5500000000000007</v>
      </c>
      <c r="AQ188" s="4">
        <v>8.67</v>
      </c>
      <c r="AR188" s="4">
        <v>8.73</v>
      </c>
      <c r="AS188" s="4">
        <v>8.75</v>
      </c>
      <c r="AT188" s="4">
        <v>8.77</v>
      </c>
      <c r="AU188" s="4">
        <v>8.73</v>
      </c>
      <c r="AV188" s="4">
        <v>8.82</v>
      </c>
      <c r="AW188" s="4">
        <v>8.84</v>
      </c>
      <c r="AX188" s="4">
        <v>8.8800000000000008</v>
      </c>
      <c r="AY188" s="12">
        <v>8.8699999999999992</v>
      </c>
      <c r="AZ188" s="12">
        <v>8.8699999999999992</v>
      </c>
      <c r="BA188" s="12">
        <v>8.8699999999999992</v>
      </c>
      <c r="BB188" s="15">
        <v>8.8699999999999992</v>
      </c>
      <c r="BC188" s="52">
        <v>8.8699999999999992</v>
      </c>
      <c r="BD188" s="52">
        <v>8.8699999999999992</v>
      </c>
      <c r="BE188" s="52">
        <v>8.8699999999999992</v>
      </c>
      <c r="BF188" s="52">
        <v>8.8699999999999992</v>
      </c>
      <c r="BG188" s="67">
        <v>8.8699999999999992</v>
      </c>
      <c r="BH188" s="52">
        <v>8.8699999999999992</v>
      </c>
      <c r="BI188" s="52">
        <v>8.8699999999999992</v>
      </c>
      <c r="BJ188" s="52">
        <v>8.8699999999999992</v>
      </c>
      <c r="BK188" s="52">
        <v>8.8699999999999992</v>
      </c>
      <c r="BL188" s="52">
        <v>8.8699999999999992</v>
      </c>
      <c r="BM188" s="52">
        <v>8.8699999999999992</v>
      </c>
      <c r="BN188" s="52">
        <v>8.8699999999999992</v>
      </c>
      <c r="BO188" s="52" cm="1">
        <f t="array" aca="1" ref="BO188" ca="1">_FV(EC188,"Preço")</f>
        <v>8.8699999999999992</v>
      </c>
      <c r="BP188" s="69" t="s">
        <v>184</v>
      </c>
      <c r="BQ188" s="36" t="e" cm="1" vm="3">
        <f t="array" ref="BQ188">_FV(EC188,"Média de volume",TRUE)</f>
        <v>#VALUE!</v>
      </c>
      <c r="BR188" s="36">
        <v>20000</v>
      </c>
      <c r="BS188" s="36" cm="1">
        <f t="array" aca="1" ref="BS188" ca="1">_FV(EC188,"Volume")</f>
        <v>20000</v>
      </c>
      <c r="BT188" s="24" cm="1">
        <f t="array" aca="1" ref="BT188" ca="1">_FV(EC188,"Beta")</f>
        <v>0.82779999999999998</v>
      </c>
      <c r="BU188" s="71" cm="1">
        <f t="array" aca="1" ref="BU188" ca="1">_FV(EC188,"Variação (%)",TRUE)</f>
        <v>0</v>
      </c>
      <c r="BW188" s="17" cm="1">
        <f t="array" aca="1" ref="BW188" ca="1">_FV(EC188,"Baixo")</f>
        <v>8.8699999999999992</v>
      </c>
      <c r="BX188" s="17" cm="1">
        <f t="array" aca="1" ref="BX188" ca="1">_FV(EC188,"Alto")</f>
        <v>8.8800000000000008</v>
      </c>
      <c r="BY188" s="24"/>
      <c r="BZ188" s="63" t="e">
        <f ca="1">SQRT(22.5*(BO188/VLOOKUP(BP188,Fundamentus!A:U,3,FALSE))*(BO188/VLOOKUP(BP188,Fundamentus!A:U,4,FALSE)))</f>
        <v>#N/A</v>
      </c>
      <c r="CB188" s="62">
        <f t="shared" ca="1" si="168"/>
        <v>0</v>
      </c>
      <c r="CC188" s="8"/>
      <c r="CD188" s="61">
        <f t="shared" si="169"/>
        <v>0.46</v>
      </c>
      <c r="CE188" s="61">
        <f t="shared" si="170"/>
        <v>8.8800000000000008</v>
      </c>
      <c r="CF188" s="61">
        <f t="shared" si="171"/>
        <v>5.4683333333333346</v>
      </c>
      <c r="CG188" s="14"/>
      <c r="CH188" s="35">
        <f t="shared" si="154"/>
        <v>8.8699999999999992</v>
      </c>
      <c r="CI188" s="15">
        <f t="shared" si="172"/>
        <v>8.8699999999999992</v>
      </c>
      <c r="CJ188" s="35">
        <f t="shared" si="155"/>
        <v>8.8699999999999992</v>
      </c>
      <c r="CL188" s="14"/>
      <c r="CM188" s="17">
        <f t="shared" si="156"/>
        <v>-5.160000000000001</v>
      </c>
      <c r="CN188" s="17">
        <f t="shared" si="157"/>
        <v>-2.3499999999999996</v>
      </c>
      <c r="CO188" s="17">
        <f t="shared" si="158"/>
        <v>3.26</v>
      </c>
      <c r="CP188" s="38">
        <f t="shared" si="173"/>
        <v>6.07</v>
      </c>
      <c r="CQ188" s="17">
        <f t="shared" si="159"/>
        <v>11.68</v>
      </c>
      <c r="CR188" s="17">
        <f t="shared" si="160"/>
        <v>14.49</v>
      </c>
      <c r="CS188" s="17">
        <f t="shared" si="161"/>
        <v>20.100000000000001</v>
      </c>
      <c r="CT188" s="2" cm="1">
        <f t="array" aca="1" ref="CT188" ca="1">MAX(_xlfn._xlws.FILTER(CM188:CS188,CM188:CS188&lt;BO188))</f>
        <v>6.07</v>
      </c>
      <c r="CU188" s="2" cm="1">
        <f t="array" aca="1" ref="CU188" ca="1">MIN(_xlfn._xlws.FILTER($CM188:$CS188,$CM188:$CS188&gt;BO188))</f>
        <v>11.68</v>
      </c>
      <c r="CV188" s="16">
        <f t="shared" ca="1" si="209"/>
        <v>0.92421746293245466</v>
      </c>
      <c r="CW188" s="20">
        <f t="shared" ca="1" si="210"/>
        <v>-0.46210873146622733</v>
      </c>
      <c r="CX188" s="20">
        <f t="shared" ca="1" si="211"/>
        <v>-0.30807248764415157</v>
      </c>
      <c r="CY188" s="20">
        <f t="shared" ca="1" si="212"/>
        <v>-0.18484349258649094</v>
      </c>
      <c r="CZ188" s="20">
        <f t="shared" ca="1" si="213"/>
        <v>-0.10269082921471719</v>
      </c>
      <c r="DA188" s="20">
        <f t="shared" ca="1" si="214"/>
        <v>-5.4365733113673806E-2</v>
      </c>
      <c r="DB188" s="20">
        <f t="shared" ca="1" si="215"/>
        <v>-2.800658978583196E-2</v>
      </c>
      <c r="DC188" s="20">
        <f t="shared" ca="1" si="216"/>
        <v>-1.4218730198960841E-2</v>
      </c>
      <c r="DD188" s="21">
        <f t="shared" ca="1" si="217"/>
        <v>1.4218730198960841E-2</v>
      </c>
      <c r="DE188" s="21">
        <f t="shared" ca="1" si="218"/>
        <v>2.800658978583196E-2</v>
      </c>
      <c r="DF188" s="21">
        <f t="shared" ca="1" si="219"/>
        <v>5.4365733113673806E-2</v>
      </c>
      <c r="DG188" s="21">
        <f t="shared" ca="1" si="220"/>
        <v>0.10269082921471719</v>
      </c>
      <c r="DH188" s="21">
        <f t="shared" ca="1" si="221"/>
        <v>0.18484349258649094</v>
      </c>
      <c r="DI188" s="21">
        <f t="shared" ca="1" si="222"/>
        <v>0.30807248764415157</v>
      </c>
      <c r="DJ188" s="21">
        <f t="shared" ca="1" si="223"/>
        <v>0.46210873146622733</v>
      </c>
      <c r="DL188" s="16" cm="1">
        <f t="array" aca="1" ref="DL188" ca="1">MAX(_xlfn._xlws.FILTER(CW188:DJ188,CW188:DJ188&lt;BU188))</f>
        <v>-1.4218730198960841E-2</v>
      </c>
      <c r="DM188" s="16" cm="1">
        <f t="array" aca="1" ref="DM188" ca="1">MIN(_xlfn._xlws.FILTER(CW188:DJ188,CW188:DJ188&gt;BU188))</f>
        <v>1.4218730198960841E-2</v>
      </c>
      <c r="DN188" s="2" cm="1">
        <f t="array" aca="1" ref="DN188" ca="1">_FV(EC188,"Fechamento anterior",TRUE)</f>
        <v>8.8800000000000008</v>
      </c>
      <c r="DO188" s="28">
        <f t="shared" ca="1" si="162"/>
        <v>0.46039990525284019</v>
      </c>
      <c r="DP188" s="15">
        <f t="shared" ca="1" si="224"/>
        <v>8.7537376758332286</v>
      </c>
      <c r="DQ188" s="15">
        <f t="shared" ca="1" si="225"/>
        <v>9.006262324166773</v>
      </c>
      <c r="DR188" s="9"/>
      <c r="DS188" s="9"/>
      <c r="DT188" s="9"/>
      <c r="DU188" s="89">
        <v>2.8437460397921683E-2</v>
      </c>
      <c r="DV188" s="89">
        <f t="shared" ca="1" si="163"/>
        <v>2.8437460397921683E-2</v>
      </c>
      <c r="DW188" s="72" t="e">
        <f t="shared" ca="1" si="164"/>
        <v>#DIV/0!</v>
      </c>
      <c r="DX188" s="37"/>
      <c r="DY188" s="35">
        <f t="shared" si="174"/>
        <v>0</v>
      </c>
      <c r="DZ188" s="56"/>
      <c r="EA188" s="56"/>
      <c r="EC188" s="2" t="e" vm="190">
        <v>#VALUE!</v>
      </c>
      <c r="EE188" s="10" cm="1">
        <f t="array" aca="1" ref="EE188" ca="1">_FV(EC188,"Ações em circulação",TRUE)</f>
        <v>77334810</v>
      </c>
      <c r="EF188" s="18" t="e">
        <f>VLOOKUP(BP188,Fundamentus!A:U,5,FALSE)</f>
        <v>#N/A</v>
      </c>
      <c r="EG188" s="2" t="e">
        <f t="shared" ca="1" si="165"/>
        <v>#N/A</v>
      </c>
      <c r="EH188" s="17" t="e">
        <v>#N/A</v>
      </c>
      <c r="EI188" s="17" t="e">
        <f t="shared" ca="1" si="166"/>
        <v>#N/A</v>
      </c>
      <c r="EK188" s="16" t="e">
        <f t="shared" ca="1" si="153"/>
        <v>#N/A</v>
      </c>
      <c r="EL188" s="32" t="e">
        <f>IF(VLOOKUP(BP188,Fundamentus!A:U,3,FALSE)&lt;15,"Bom",IF(VLOOKUP(BP188,Fundamentus!A:U,3,FALSE)&gt;15,"Ruim","n/a"))</f>
        <v>#N/A</v>
      </c>
      <c r="EM188" s="28" t="e">
        <f>IF(VLOOKUP(BP188,Fundamentus!A:U,4,FALSE)&lt;1,"Baixo",IF(VLOOKUP(BP188,Fundamentus!A:U,4,FALSE)&lt;1.5,"Moderado",IF(VLOOKUP(BP188,Fundamentus!A:U,4,FALSE)&gt;1.5,"Alto","n/a")))</f>
        <v>#N/A</v>
      </c>
      <c r="EN188" s="17" t="e">
        <f>IF(VLOOKUP(BP188,Fundamentus!A:U,8,FALSE)&lt;0,"Risco elevado",IF(VLOOKUP(BP188,Fundamentus!A:U,8,FALSE)&lt;1,"Saudável",IF(VLOOKUP(BP188,Fundamentus!A:U,8,FALSE)&lt;3,"Estável",IF(VLOOKUP(BP188,Fundamentus!A:U,8,FALSE)&gt;3,"Alerta","n/a"))))</f>
        <v>#N/A</v>
      </c>
      <c r="EO188" s="28" t="e">
        <f t="shared" si="167"/>
        <v>#N/A</v>
      </c>
      <c r="EP188" s="17" t="e">
        <f>IF(VLOOKUP(BP188,Fundamentus!A:U,12,FALSE)&lt;2,"Subvalorizada",IF(VLOOKUP(BP188,Fundamentus!A:U,12,FALSE)&lt;6,"Muita barata",IF(VLOOKUP(BP188,Fundamentus!A:U,12,FALSE)&lt;6,"Barata",IF(VLOOKUP(BP188,Fundamentus!A:U,12,FALSE)&lt;8,"Atrativa",IF(VLOOKUP(BP188,Fundamentus!A:U,12,FALSE)&gt;8,"Supervalorizada","n/a")))))</f>
        <v>#N/A</v>
      </c>
      <c r="ER188" s="17" t="e">
        <f>IF(VLOOKUP(BP188,Fundamentus!A:U,17,FALSE)&lt;0.1,"Fraco retorno",IF(VLOOKUP(BP188,Fundamentus!A:U,17,FALSE)&gt;0.1,"Bom retorno","n/a"))</f>
        <v>#N/A</v>
      </c>
      <c r="ES188" s="17" t="e">
        <f>IF(VLOOKUP(BP188,Fundamentus!A:U,16,FALSE)&lt;0.1,"Ineficiente",IF(VLOOKUP(BP188,Fundamentus!A:U,16,FALSE)&gt;0.1,"Eficiente","n/a"))</f>
        <v>#N/A</v>
      </c>
      <c r="ET188" s="33" t="e">
        <f>IF(VLOOKUP(BP188,Fundamentus!A:U,16,FALSE)&lt;0.1,"Oper. Ineficiente",IF(VLOOKUP(BP188,Fundamentus!A:U,16,FALSE)&gt;0.1,"Oper.Eficiente","n/a"))</f>
        <v>#N/A</v>
      </c>
      <c r="EU188" s="34" t="e">
        <f>VLOOKUP(BP188,Fundamentus!A:U,14,FALSE)</f>
        <v>#N/A</v>
      </c>
      <c r="EV188" s="17" t="e">
        <f>IF(VLOOKUP(BP188,Fundamentus!A:U,21,FALSE)&lt;0,"Negativo",IF(VLOOKUP(BP188,Fundamentus!A:U,21,FALSE)&lt;0.05,"Fraco",IF(VLOOKUP(BP188,Fundamentus!A:U,21,FALSE)&lt;0.1,"Bom",IF(VLOOKUP(BP188,Fundamentus!A:U,21,FALSE)&gt;0.1,"Muito bom","n/a"))))</f>
        <v>#N/A</v>
      </c>
      <c r="EX188" s="29" t="e">
        <f>IF(VLOOKUP(BP188,Fundamentus!A:U,15,FALSE)&gt;1,"Bom",IF(VLOOKUP(BP188,Fundamentus!A:U,15,FALSE)&lt;1,"Ruim","n/a"))</f>
        <v>#N/A</v>
      </c>
      <c r="EY188" s="17" t="e">
        <f>IF(VLOOKUP(BP188,Fundamentus!A:U,20,FALSE)&lt;0.5,"Baixa",IF(VLOOKUP(BP188,Fundamentus!A:U,20,FALSE)&lt;1,"Moderada",IF(VLOOKUP(BP188,Fundamentus!A:U,20,FALSE)&lt;2,"Alerta",IF(VLOOKUP(BP188,Fundamentus!A:U,20,FALSE)&gt;2,"Alta","n/a"))))</f>
        <v>#N/A</v>
      </c>
      <c r="EZ188" s="10"/>
    </row>
    <row r="189" spans="1:156" s="2" customFormat="1" ht="11.25" x14ac:dyDescent="0.2">
      <c r="A189" s="4">
        <v>2.2200000000000002</v>
      </c>
      <c r="B189" s="4">
        <v>2.15</v>
      </c>
      <c r="C189" s="4">
        <v>2.11</v>
      </c>
      <c r="D189" s="4">
        <v>2.16</v>
      </c>
      <c r="E189" s="4">
        <v>2.15</v>
      </c>
      <c r="F189" s="4">
        <v>2.1</v>
      </c>
      <c r="G189" s="4">
        <v>2.04</v>
      </c>
      <c r="H189" s="4">
        <v>2.0499999999999998</v>
      </c>
      <c r="I189" s="4">
        <v>2.0299999999999998</v>
      </c>
      <c r="J189" s="4">
        <v>2.09</v>
      </c>
      <c r="K189" s="4">
        <v>2.06</v>
      </c>
      <c r="L189" s="4">
        <v>2.06</v>
      </c>
      <c r="M189" s="4">
        <v>2</v>
      </c>
      <c r="N189" s="4">
        <v>1.99</v>
      </c>
      <c r="O189" s="4">
        <v>1.95</v>
      </c>
      <c r="P189" s="4">
        <v>2.16</v>
      </c>
      <c r="Q189" s="4">
        <v>2.15</v>
      </c>
      <c r="R189" s="4">
        <v>2.13</v>
      </c>
      <c r="S189" s="4">
        <v>2.2200000000000002</v>
      </c>
      <c r="T189" s="4">
        <v>2.2799999999999998</v>
      </c>
      <c r="U189" s="4">
        <v>2.27</v>
      </c>
      <c r="V189" s="4">
        <v>2.2200000000000002</v>
      </c>
      <c r="W189" s="4">
        <v>2.35</v>
      </c>
      <c r="X189" s="4">
        <v>2.34</v>
      </c>
      <c r="Y189" s="4">
        <v>2.81</v>
      </c>
      <c r="Z189" s="4">
        <v>2.84</v>
      </c>
      <c r="AA189" s="4">
        <v>2.71</v>
      </c>
      <c r="AB189" s="4">
        <v>2.68</v>
      </c>
      <c r="AC189" s="4">
        <v>2.4700000000000002</v>
      </c>
      <c r="AD189" s="4">
        <v>2.36</v>
      </c>
      <c r="AE189" s="4">
        <v>2.17</v>
      </c>
      <c r="AF189" s="4">
        <v>2.13</v>
      </c>
      <c r="AG189" s="4">
        <v>2.11</v>
      </c>
      <c r="AH189" s="4">
        <v>1.9</v>
      </c>
      <c r="AI189" s="4">
        <v>1.92</v>
      </c>
      <c r="AJ189" s="4">
        <v>1.83</v>
      </c>
      <c r="AK189" s="4">
        <v>1.87</v>
      </c>
      <c r="AL189" s="4">
        <v>1.92</v>
      </c>
      <c r="AM189" s="4">
        <v>1.91</v>
      </c>
      <c r="AN189" s="4">
        <v>2.21</v>
      </c>
      <c r="AO189" s="4">
        <v>2.21</v>
      </c>
      <c r="AP189" s="4">
        <v>1.8</v>
      </c>
      <c r="AQ189" s="4">
        <v>1.65</v>
      </c>
      <c r="AR189" s="4">
        <v>1.56</v>
      </c>
      <c r="AS189" s="4">
        <v>1.67</v>
      </c>
      <c r="AT189" s="4">
        <v>1.74</v>
      </c>
      <c r="AU189" s="4">
        <v>1.7150000000000001</v>
      </c>
      <c r="AV189" s="4">
        <v>1.74</v>
      </c>
      <c r="AW189" s="4">
        <v>1.66</v>
      </c>
      <c r="AX189" s="4">
        <v>1.68</v>
      </c>
      <c r="AY189" s="12">
        <v>1.67</v>
      </c>
      <c r="AZ189" s="12">
        <v>1.68</v>
      </c>
      <c r="BA189" s="12">
        <v>1.67</v>
      </c>
      <c r="BB189" s="15">
        <v>1.64</v>
      </c>
      <c r="BC189" s="52">
        <v>1.62</v>
      </c>
      <c r="BD189" s="52">
        <v>1.59</v>
      </c>
      <c r="BE189" s="52">
        <v>1.68</v>
      </c>
      <c r="BF189" s="52">
        <v>1.57</v>
      </c>
      <c r="BG189" s="67">
        <v>1.59</v>
      </c>
      <c r="BH189" s="52">
        <v>1.59</v>
      </c>
      <c r="BI189" s="52">
        <v>1.58</v>
      </c>
      <c r="BJ189" s="52">
        <v>1.58</v>
      </c>
      <c r="BK189" s="52">
        <v>1.57</v>
      </c>
      <c r="BL189" s="52">
        <v>1.48</v>
      </c>
      <c r="BM189" s="52">
        <v>1.4</v>
      </c>
      <c r="BN189" s="52">
        <v>1.36</v>
      </c>
      <c r="BO189" s="52" cm="1">
        <f t="array" aca="1" ref="BO189" ca="1">_FV(EC189,"Preço")</f>
        <v>1.36</v>
      </c>
      <c r="BP189" s="69" t="s">
        <v>185</v>
      </c>
      <c r="BQ189" s="36" cm="1">
        <f t="array" aca="1" ref="BQ189" ca="1">_FV(EC189,"Média de volume",TRUE)</f>
        <v>7870</v>
      </c>
      <c r="BR189" s="36">
        <v>500</v>
      </c>
      <c r="BS189" s="36" cm="1">
        <f t="array" aca="1" ref="BS189" ca="1">_FV(EC189,"Volume")</f>
        <v>500</v>
      </c>
      <c r="BT189" s="24" cm="1">
        <f t="array" aca="1" ref="BT189" ca="1">_FV(EC189,"Beta")</f>
        <v>0.91510000000000002</v>
      </c>
      <c r="BU189" s="71" cm="1">
        <f t="array" aca="1" ref="BU189" ca="1">_FV(EC189,"Variação (%)",TRUE)</f>
        <v>7.4070000000000004E-3</v>
      </c>
      <c r="BW189" s="17" cm="1">
        <f t="array" aca="1" ref="BW189" ca="1">_FV(EC189,"Baixo")</f>
        <v>1.36</v>
      </c>
      <c r="BX189" s="17" cm="1">
        <f t="array" aca="1" ref="BX189" ca="1">_FV(EC189,"Alto")</f>
        <v>1.38</v>
      </c>
      <c r="BY189" s="24"/>
      <c r="BZ189" s="63">
        <f ca="1">SQRT(22.5*(BO189/VLOOKUP(BP189,Fundamentus!A:U,3,FALSE))*(BO189/VLOOKUP(BP189,Fundamentus!A:U,4,FALSE)))</f>
        <v>0.14677588475916528</v>
      </c>
      <c r="CB189" s="62">
        <f t="shared" ca="1" si="168"/>
        <v>0</v>
      </c>
      <c r="CC189" s="8"/>
      <c r="CD189" s="61">
        <f t="shared" si="169"/>
        <v>1.36</v>
      </c>
      <c r="CE189" s="61">
        <f t="shared" si="170"/>
        <v>2.84</v>
      </c>
      <c r="CF189" s="61">
        <f t="shared" si="171"/>
        <v>1.9668939393939397</v>
      </c>
      <c r="CG189" s="14"/>
      <c r="CH189" s="35">
        <f t="shared" si="154"/>
        <v>1.0986367385195883</v>
      </c>
      <c r="CI189" s="15">
        <f t="shared" si="172"/>
        <v>1.2749999999999773</v>
      </c>
      <c r="CJ189" s="35">
        <f t="shared" si="155"/>
        <v>1.4513632614803662</v>
      </c>
      <c r="CL189" s="14"/>
      <c r="CM189" s="17">
        <f t="shared" si="156"/>
        <v>-0.61333333333333262</v>
      </c>
      <c r="CN189" s="17">
        <f t="shared" si="157"/>
        <v>0.37333333333333374</v>
      </c>
      <c r="CO189" s="17">
        <f t="shared" si="158"/>
        <v>0.86666666666666714</v>
      </c>
      <c r="CP189" s="38">
        <f t="shared" si="173"/>
        <v>1.8533333333333335</v>
      </c>
      <c r="CQ189" s="17">
        <f t="shared" si="159"/>
        <v>2.3466666666666667</v>
      </c>
      <c r="CR189" s="17">
        <f t="shared" si="160"/>
        <v>3.333333333333333</v>
      </c>
      <c r="CS189" s="17">
        <f t="shared" si="161"/>
        <v>3.8266666666666667</v>
      </c>
      <c r="CT189" s="2" cm="1">
        <f t="array" aca="1" ref="CT189" ca="1">MAX(_xlfn._xlws.FILTER(CM189:CS189,CM189:CS189&lt;BO189))</f>
        <v>0.86666666666666714</v>
      </c>
      <c r="CU189" s="2" cm="1">
        <f t="array" aca="1" ref="CU189" ca="1">MIN(_xlfn._xlws.FILTER($CM189:$CS189,$CM189:$CS189&gt;BO189))</f>
        <v>1.8533333333333335</v>
      </c>
      <c r="CV189" s="16">
        <f t="shared" ca="1" si="209"/>
        <v>1.1384615384615375</v>
      </c>
      <c r="CW189" s="20">
        <f t="shared" ca="1" si="210"/>
        <v>-0.56923076923076876</v>
      </c>
      <c r="CX189" s="20">
        <f t="shared" ca="1" si="211"/>
        <v>-0.37948717948717919</v>
      </c>
      <c r="CY189" s="20">
        <f t="shared" ca="1" si="212"/>
        <v>-0.2276923076923075</v>
      </c>
      <c r="CZ189" s="20">
        <f t="shared" ca="1" si="213"/>
        <v>-0.12649572649572638</v>
      </c>
      <c r="DA189" s="20">
        <f t="shared" ca="1" si="214"/>
        <v>-6.6968325791855146E-2</v>
      </c>
      <c r="DB189" s="20">
        <f t="shared" ca="1" si="215"/>
        <v>-3.4498834498834473E-2</v>
      </c>
      <c r="DC189" s="20">
        <f t="shared" ca="1" si="216"/>
        <v>-1.7514792899408271E-2</v>
      </c>
      <c r="DD189" s="21">
        <f t="shared" ca="1" si="217"/>
        <v>1.7514792899408271E-2</v>
      </c>
      <c r="DE189" s="21">
        <f t="shared" ca="1" si="218"/>
        <v>3.4498834498834473E-2</v>
      </c>
      <c r="DF189" s="21">
        <f t="shared" ca="1" si="219"/>
        <v>6.6968325791855146E-2</v>
      </c>
      <c r="DG189" s="21">
        <f t="shared" ca="1" si="220"/>
        <v>0.12649572649572638</v>
      </c>
      <c r="DH189" s="21">
        <f t="shared" ca="1" si="221"/>
        <v>0.2276923076923075</v>
      </c>
      <c r="DI189" s="21">
        <f t="shared" ca="1" si="222"/>
        <v>0.37948717948717919</v>
      </c>
      <c r="DJ189" s="21">
        <f t="shared" ca="1" si="223"/>
        <v>0.56923076923076876</v>
      </c>
      <c r="DL189" s="16" cm="1">
        <f t="array" aca="1" ref="DL189" ca="1">MAX(_xlfn._xlws.FILTER(CW189:DJ189,CW189:DJ189&lt;BU189))</f>
        <v>-1.7514792899408271E-2</v>
      </c>
      <c r="DM189" s="16" cm="1">
        <f t="array" aca="1" ref="DM189" ca="1">MIN(_xlfn._xlws.FILTER(CW189:DJ189,CW189:DJ189&gt;BU189))</f>
        <v>1.7514792899408271E-2</v>
      </c>
      <c r="DN189" s="2" cm="1">
        <f t="array" aca="1" ref="DN189" ca="1">_FV(EC189,"Fechamento anterior",TRUE)</f>
        <v>1.35</v>
      </c>
      <c r="DO189" s="28">
        <f t="shared" ca="1" si="162"/>
        <v>0.71146146146146139</v>
      </c>
      <c r="DP189" s="15">
        <f t="shared" ca="1" si="224"/>
        <v>1.3263550295857989</v>
      </c>
      <c r="DQ189" s="15">
        <f t="shared" ca="1" si="225"/>
        <v>1.3736449704142013</v>
      </c>
      <c r="DR189" s="9"/>
      <c r="DS189" s="9"/>
      <c r="DT189" s="9"/>
      <c r="DU189" s="89">
        <v>2.9504741833508926E-2</v>
      </c>
      <c r="DV189" s="89">
        <f t="shared" ca="1" si="163"/>
        <v>3.5029585798816543E-2</v>
      </c>
      <c r="DW189" s="72">
        <f t="shared" ca="1" si="164"/>
        <v>0.48195978735330075</v>
      </c>
      <c r="DX189" s="37"/>
      <c r="DY189" s="35">
        <f t="shared" si="174"/>
        <v>8.818163074019443E-2</v>
      </c>
      <c r="DZ189" s="56"/>
      <c r="EA189" s="56"/>
      <c r="EC189" s="2" t="e" vm="191">
        <v>#VALUE!</v>
      </c>
      <c r="EE189" s="10" cm="1">
        <f t="array" aca="1" ref="EE189" ca="1">_FV(EC189,"Ações em circulação",TRUE)</f>
        <v>260509800</v>
      </c>
      <c r="EF189" s="18">
        <f>VLOOKUP(BP189,Fundamentus!A:U,5,FALSE)</f>
        <v>0.23699999999999999</v>
      </c>
      <c r="EG189" s="2">
        <f t="shared" ca="1" si="165"/>
        <v>1494908556.9620254</v>
      </c>
      <c r="EH189" s="17">
        <v>70709174.744303808</v>
      </c>
      <c r="EI189" s="17">
        <f t="shared" ca="1" si="166"/>
        <v>70709174.744303808</v>
      </c>
      <c r="EK189" s="16">
        <f t="shared" ca="1" si="153"/>
        <v>0</v>
      </c>
      <c r="EL189" s="32" t="str">
        <f>IF(VLOOKUP(BP189,Fundamentus!A:U,3,FALSE)&lt;15,"Bom",IF(VLOOKUP(BP189,Fundamentus!A:U,3,FALSE)&gt;15,"Ruim","n/a"))</f>
        <v>Bom</v>
      </c>
      <c r="EM189" s="28" t="str">
        <f>IF(VLOOKUP(BP189,Fundamentus!A:U,4,FALSE)&lt;1,"Baixo",IF(VLOOKUP(BP189,Fundamentus!A:U,4,FALSE)&lt;1.5,"Moderado",IF(VLOOKUP(BP189,Fundamentus!A:U,4,FALSE)&gt;1.5,"Alto","n/a")))</f>
        <v>Alto</v>
      </c>
      <c r="EN189" s="17" t="str">
        <f>IF(VLOOKUP(BP189,Fundamentus!A:U,8,FALSE)&lt;0,"Risco elevado",IF(VLOOKUP(BP189,Fundamentus!A:U,8,FALSE)&lt;1,"Saudável",IF(VLOOKUP(BP189,Fundamentus!A:U,8,FALSE)&lt;3,"Estável",IF(VLOOKUP(BP189,Fundamentus!A:U,8,FALSE)&gt;3,"Alerta","n/a"))))</f>
        <v>Risco elevado</v>
      </c>
      <c r="EO189" s="28" t="str">
        <f t="shared" si="167"/>
        <v>Ruim</v>
      </c>
      <c r="EP189" s="17" t="str">
        <f>IF(VLOOKUP(BP189,Fundamentus!A:U,12,FALSE)&lt;2,"Subvalorizada",IF(VLOOKUP(BP189,Fundamentus!A:U,12,FALSE)&lt;6,"Muita barata",IF(VLOOKUP(BP189,Fundamentus!A:U,12,FALSE)&lt;6,"Barata",IF(VLOOKUP(BP189,Fundamentus!A:U,12,FALSE)&lt;8,"Atrativa",IF(VLOOKUP(BP189,Fundamentus!A:U,12,FALSE)&gt;8,"Supervalorizada","n/a")))))</f>
        <v>Muita barata</v>
      </c>
      <c r="ER189" s="17" t="str">
        <f>IF(VLOOKUP(BP189,Fundamentus!A:U,17,FALSE)&lt;0.1,"Fraco retorno",IF(VLOOKUP(BP189,Fundamentus!A:U,17,FALSE)&gt;0.1,"Bom retorno","n/a"))</f>
        <v>Bom retorno</v>
      </c>
      <c r="ES189" s="17" t="str">
        <f>IF(VLOOKUP(BP189,Fundamentus!A:U,16,FALSE)&lt;0.1,"Ineficiente",IF(VLOOKUP(BP189,Fundamentus!A:U,16,FALSE)&gt;0.1,"Eficiente","n/a"))</f>
        <v>Eficiente</v>
      </c>
      <c r="ET189" s="33" t="str">
        <f>IF(VLOOKUP(BP189,Fundamentus!A:U,16,FALSE)&lt;0.1,"Oper. Ineficiente",IF(VLOOKUP(BP189,Fundamentus!A:U,16,FALSE)&gt;0.1,"Oper.Eficiente","n/a"))</f>
        <v>Oper.Eficiente</v>
      </c>
      <c r="EU189" s="34">
        <f>VLOOKUP(BP189,Fundamentus!A:U,14,FALSE)</f>
        <v>4.7300000000000002E-2</v>
      </c>
      <c r="EV189" s="17" t="str">
        <f>IF(VLOOKUP(BP189,Fundamentus!A:U,21,FALSE)&lt;0,"Negativo",IF(VLOOKUP(BP189,Fundamentus!A:U,21,FALSE)&lt;0.05,"Fraco",IF(VLOOKUP(BP189,Fundamentus!A:U,21,FALSE)&lt;0.1,"Bom",IF(VLOOKUP(BP189,Fundamentus!A:U,21,FALSE)&gt;0.1,"Muito bom","n/a"))))</f>
        <v>Muito bom</v>
      </c>
      <c r="EX189" s="29" t="str">
        <f>IF(VLOOKUP(BP189,Fundamentus!A:U,15,FALSE)&gt;1,"Bom",IF(VLOOKUP(BP189,Fundamentus!A:U,15,FALSE)&lt;1,"Ruim","n/a"))</f>
        <v>Ruim</v>
      </c>
      <c r="EY189" s="17" t="str">
        <f>IF(VLOOKUP(BP189,Fundamentus!A:U,20,FALSE)&lt;0.5,"Baixa",IF(VLOOKUP(BP189,Fundamentus!A:U,20,FALSE)&lt;1,"Moderada",IF(VLOOKUP(BP189,Fundamentus!A:U,20,FALSE)&lt;2,"Alerta",IF(VLOOKUP(BP189,Fundamentus!A:U,20,FALSE)&gt;2,"Alta","n/a"))))</f>
        <v>Alta</v>
      </c>
      <c r="EZ189" s="10"/>
    </row>
    <row r="190" spans="1:156" s="2" customFormat="1" ht="11.25" x14ac:dyDescent="0.2">
      <c r="A190" s="4">
        <v>7.15</v>
      </c>
      <c r="B190" s="4">
        <v>6.89</v>
      </c>
      <c r="C190" s="4">
        <v>6.72</v>
      </c>
      <c r="D190" s="4">
        <v>6.63</v>
      </c>
      <c r="E190" s="4">
        <v>6.2</v>
      </c>
      <c r="F190" s="4">
        <v>6.28</v>
      </c>
      <c r="G190" s="4">
        <v>6.13</v>
      </c>
      <c r="H190" s="4">
        <v>5.89</v>
      </c>
      <c r="I190" s="4">
        <v>5.91</v>
      </c>
      <c r="J190" s="4">
        <v>6.23</v>
      </c>
      <c r="K190" s="4">
        <v>6.33</v>
      </c>
      <c r="L190" s="4">
        <v>5.9</v>
      </c>
      <c r="M190" s="4">
        <v>5.61</v>
      </c>
      <c r="N190" s="4">
        <v>6.07</v>
      </c>
      <c r="O190" s="4">
        <v>6.2</v>
      </c>
      <c r="P190" s="4">
        <v>5.83</v>
      </c>
      <c r="Q190" s="4">
        <v>6.09</v>
      </c>
      <c r="R190" s="4">
        <v>5.86</v>
      </c>
      <c r="S190" s="4">
        <v>5.83</v>
      </c>
      <c r="T190" s="4">
        <v>5.82</v>
      </c>
      <c r="U190" s="4">
        <v>5.79</v>
      </c>
      <c r="V190" s="4">
        <v>5.75</v>
      </c>
      <c r="W190" s="4">
        <v>5.67</v>
      </c>
      <c r="X190" s="4">
        <v>5.6</v>
      </c>
      <c r="Y190" s="4">
        <v>5.22</v>
      </c>
      <c r="Z190" s="4">
        <v>5.21</v>
      </c>
      <c r="AA190" s="4">
        <v>5.21</v>
      </c>
      <c r="AB190" s="4">
        <v>5.3</v>
      </c>
      <c r="AC190" s="4">
        <v>5.15</v>
      </c>
      <c r="AD190" s="4">
        <v>5.61</v>
      </c>
      <c r="AE190" s="4">
        <v>6.17</v>
      </c>
      <c r="AF190" s="4">
        <v>5.94</v>
      </c>
      <c r="AG190" s="4">
        <v>5.6</v>
      </c>
      <c r="AH190" s="4">
        <v>5.08</v>
      </c>
      <c r="AI190" s="4">
        <v>5.14</v>
      </c>
      <c r="AJ190" s="4">
        <v>5.07</v>
      </c>
      <c r="AK190" s="4">
        <v>4.9800000000000004</v>
      </c>
      <c r="AL190" s="4">
        <v>5.01</v>
      </c>
      <c r="AM190" s="4">
        <v>5.15</v>
      </c>
      <c r="AN190" s="4">
        <v>5.25</v>
      </c>
      <c r="AO190" s="4">
        <v>5.18</v>
      </c>
      <c r="AP190" s="4">
        <v>5.44</v>
      </c>
      <c r="AQ190" s="4">
        <v>5.49</v>
      </c>
      <c r="AR190" s="4">
        <v>5.4</v>
      </c>
      <c r="AS190" s="4">
        <v>5.32</v>
      </c>
      <c r="AT190" s="4">
        <v>4.99</v>
      </c>
      <c r="AU190" s="4">
        <v>4.9700000000000006</v>
      </c>
      <c r="AV190" s="4">
        <v>4.93</v>
      </c>
      <c r="AW190" s="4">
        <v>4.75</v>
      </c>
      <c r="AX190" s="4">
        <v>4.55</v>
      </c>
      <c r="AY190" s="12">
        <v>4.59</v>
      </c>
      <c r="AZ190" s="12">
        <v>4.68</v>
      </c>
      <c r="BA190" s="12">
        <v>4.5199999999999996</v>
      </c>
      <c r="BB190" s="15">
        <v>4.54</v>
      </c>
      <c r="BC190" s="52">
        <v>4.54</v>
      </c>
      <c r="BD190" s="52">
        <v>4.37</v>
      </c>
      <c r="BE190" s="52">
        <v>4.29</v>
      </c>
      <c r="BF190" s="52">
        <v>4.08</v>
      </c>
      <c r="BG190" s="67">
        <v>4.03</v>
      </c>
      <c r="BH190" s="52">
        <v>4.01</v>
      </c>
      <c r="BI190" s="52">
        <v>4.01</v>
      </c>
      <c r="BJ190" s="52">
        <v>4.07</v>
      </c>
      <c r="BK190" s="52">
        <v>3.91</v>
      </c>
      <c r="BL190" s="52">
        <v>3.75</v>
      </c>
      <c r="BM190" s="52">
        <v>3.7</v>
      </c>
      <c r="BN190" s="52">
        <v>3.91</v>
      </c>
      <c r="BO190" s="52" cm="1">
        <f t="array" aca="1" ref="BO190" ca="1">_FV(EC190,"Preço")</f>
        <v>3.91</v>
      </c>
      <c r="BP190" s="69" t="s">
        <v>186</v>
      </c>
      <c r="BQ190" s="36" cm="1">
        <f t="array" aca="1" ref="BQ190" ca="1">_FV(EC190,"Média de volume",TRUE)</f>
        <v>104750</v>
      </c>
      <c r="BR190" s="36">
        <v>147700</v>
      </c>
      <c r="BS190" s="36" cm="1">
        <f t="array" aca="1" ref="BS190" ca="1">_FV(EC190,"Volume")</f>
        <v>147700</v>
      </c>
      <c r="BT190" s="24" cm="1">
        <f t="array" aca="1" ref="BT190" ca="1">_FV(EC190,"Beta")</f>
        <v>1.8521000000000001</v>
      </c>
      <c r="BU190" s="71" cm="1">
        <f t="array" aca="1" ref="BU190" ca="1">_FV(EC190,"Variação (%)",TRUE)</f>
        <v>4.5454999999999995E-2</v>
      </c>
      <c r="BW190" s="17" cm="1">
        <f t="array" aca="1" ref="BW190" ca="1">_FV(EC190,"Baixo")</f>
        <v>3.7</v>
      </c>
      <c r="BX190" s="17" cm="1">
        <f t="array" aca="1" ref="BX190" ca="1">_FV(EC190,"Alto")</f>
        <v>3.91</v>
      </c>
      <c r="BY190" s="24"/>
      <c r="BZ190" s="63">
        <f ca="1">SQRT(22.5*(BO190/VLOOKUP(BP190,Fundamentus!A:U,3,FALSE))*(BO190/VLOOKUP(BP190,Fundamentus!A:U,4,FALSE)))</f>
        <v>12.005191716405514</v>
      </c>
      <c r="CB190" s="62">
        <f t="shared" ca="1" si="168"/>
        <v>0</v>
      </c>
      <c r="CC190" s="8"/>
      <c r="CD190" s="61">
        <f t="shared" si="169"/>
        <v>3.7</v>
      </c>
      <c r="CE190" s="61">
        <f t="shared" si="170"/>
        <v>7.15</v>
      </c>
      <c r="CF190" s="61">
        <f t="shared" si="171"/>
        <v>5.2953030303030317</v>
      </c>
      <c r="CG190" s="14"/>
      <c r="CH190" s="35">
        <f t="shared" si="154"/>
        <v>3.541971484435622</v>
      </c>
      <c r="CI190" s="15">
        <f t="shared" si="172"/>
        <v>3.8049999999999997</v>
      </c>
      <c r="CJ190" s="35">
        <f t="shared" si="155"/>
        <v>4.0680285155643769</v>
      </c>
      <c r="CL190" s="14"/>
      <c r="CM190" s="17">
        <f t="shared" si="156"/>
        <v>-0.7599999999999989</v>
      </c>
      <c r="CN190" s="17">
        <f t="shared" si="157"/>
        <v>1.4700000000000006</v>
      </c>
      <c r="CO190" s="17">
        <f t="shared" si="158"/>
        <v>2.6900000000000013</v>
      </c>
      <c r="CP190" s="38">
        <f t="shared" si="173"/>
        <v>4.9200000000000008</v>
      </c>
      <c r="CQ190" s="17">
        <f t="shared" si="159"/>
        <v>6.1400000000000015</v>
      </c>
      <c r="CR190" s="17">
        <f t="shared" si="160"/>
        <v>8.370000000000001</v>
      </c>
      <c r="CS190" s="17">
        <f t="shared" si="161"/>
        <v>9.5900000000000016</v>
      </c>
      <c r="CT190" s="2" cm="1">
        <f t="array" aca="1" ref="CT190" ca="1">MAX(_xlfn._xlws.FILTER(CM190:CS190,CM190:CS190&lt;BO190))</f>
        <v>2.6900000000000013</v>
      </c>
      <c r="CU190" s="2" cm="1">
        <f t="array" aca="1" ref="CU190" ca="1">MIN(_xlfn._xlws.FILTER($CM190:$CS190,$CM190:$CS190&gt;BO190))</f>
        <v>4.9200000000000008</v>
      </c>
      <c r="CV190" s="16">
        <f t="shared" ca="1" si="209"/>
        <v>0.82899628252788049</v>
      </c>
      <c r="CW190" s="20">
        <f t="shared" ca="1" si="210"/>
        <v>-0.41449814126394025</v>
      </c>
      <c r="CX190" s="20">
        <f t="shared" ca="1" si="211"/>
        <v>-0.27633209417596016</v>
      </c>
      <c r="CY190" s="20">
        <f t="shared" ca="1" si="212"/>
        <v>-0.16579925650557609</v>
      </c>
      <c r="CZ190" s="20">
        <f t="shared" ca="1" si="213"/>
        <v>-9.2110698058653392E-2</v>
      </c>
      <c r="DA190" s="20">
        <f t="shared" ca="1" si="214"/>
        <v>-4.8764487207522383E-2</v>
      </c>
      <c r="DB190" s="20">
        <f t="shared" ca="1" si="215"/>
        <v>-2.5121099470541832E-2</v>
      </c>
      <c r="DC190" s="20">
        <f t="shared" ca="1" si="216"/>
        <v>-1.2753788961967391E-2</v>
      </c>
      <c r="DD190" s="21">
        <f t="shared" ca="1" si="217"/>
        <v>1.2753788961967391E-2</v>
      </c>
      <c r="DE190" s="21">
        <f t="shared" ca="1" si="218"/>
        <v>2.5121099470541832E-2</v>
      </c>
      <c r="DF190" s="21">
        <f t="shared" ca="1" si="219"/>
        <v>4.8764487207522383E-2</v>
      </c>
      <c r="DG190" s="21">
        <f t="shared" ca="1" si="220"/>
        <v>9.2110698058653392E-2</v>
      </c>
      <c r="DH190" s="21">
        <f t="shared" ca="1" si="221"/>
        <v>0.16579925650557609</v>
      </c>
      <c r="DI190" s="21">
        <f t="shared" ca="1" si="222"/>
        <v>0.27633209417596016</v>
      </c>
      <c r="DJ190" s="21">
        <f t="shared" ca="1" si="223"/>
        <v>0.41449814126394025</v>
      </c>
      <c r="DL190" s="16" cm="1">
        <f t="array" aca="1" ref="DL190" ca="1">MAX(_xlfn._xlws.FILTER(CW190:DJ190,CW190:DJ190&lt;BU190))</f>
        <v>2.5121099470541832E-2</v>
      </c>
      <c r="DM190" s="16" cm="1">
        <f t="array" aca="1" ref="DM190" ca="1">MIN(_xlfn._xlws.FILTER(CW190:DJ190,CW190:DJ190&gt;BU190))</f>
        <v>4.8764487207522383E-2</v>
      </c>
      <c r="DN190" s="2" cm="1">
        <f t="array" aca="1" ref="DN190" ca="1">_FV(EC190,"Fechamento anterior",TRUE)</f>
        <v>3.74</v>
      </c>
      <c r="DO190" s="28">
        <f t="shared" ca="1" si="162"/>
        <v>0.86000560538116533</v>
      </c>
      <c r="DP190" s="15">
        <f t="shared" ca="1" si="224"/>
        <v>3.8339529120198268</v>
      </c>
      <c r="DQ190" s="15">
        <f t="shared" ca="1" si="225"/>
        <v>3.922379182156134</v>
      </c>
      <c r="DR190" s="9"/>
      <c r="DS190" s="9"/>
      <c r="DT190" s="9"/>
      <c r="DU190" s="89">
        <v>1.3185953831115118E-2</v>
      </c>
      <c r="DV190" s="89">
        <f t="shared" ca="1" si="163"/>
        <v>2.3643387736980551E-2</v>
      </c>
      <c r="DW190" s="72">
        <f t="shared" ca="1" si="164"/>
        <v>0.39919626119131219</v>
      </c>
      <c r="DX190" s="37"/>
      <c r="DY190" s="35">
        <f t="shared" si="174"/>
        <v>0.13151425778218881</v>
      </c>
      <c r="DZ190" s="56"/>
      <c r="EA190" s="56"/>
      <c r="EC190" s="2" t="e" vm="192">
        <v>#VALUE!</v>
      </c>
      <c r="EE190" s="10" cm="1">
        <f t="array" aca="1" ref="EE190" ca="1">_FV(EC190,"Ações em circulação",TRUE)</f>
        <v>61776580</v>
      </c>
      <c r="EF190" s="18">
        <f>VLOOKUP(BP190,Fundamentus!A:U,5,FALSE)</f>
        <v>0.19400000000000001</v>
      </c>
      <c r="EG190" s="2">
        <f t="shared" ca="1" si="165"/>
        <v>1245084679.3814433</v>
      </c>
      <c r="EH190" s="17">
        <v>29383998.433402061</v>
      </c>
      <c r="EI190" s="17">
        <f t="shared" ca="1" si="166"/>
        <v>29383998.433402061</v>
      </c>
      <c r="EK190" s="16">
        <f t="shared" ca="1" si="153"/>
        <v>0</v>
      </c>
      <c r="EL190" s="32" t="str">
        <f>IF(VLOOKUP(BP190,Fundamentus!A:U,3,FALSE)&lt;15,"Bom",IF(VLOOKUP(BP190,Fundamentus!A:U,3,FALSE)&gt;15,"Ruim","n/a"))</f>
        <v>Bom</v>
      </c>
      <c r="EM190" s="28" t="str">
        <f>IF(VLOOKUP(BP190,Fundamentus!A:U,4,FALSE)&lt;1,"Baixo",IF(VLOOKUP(BP190,Fundamentus!A:U,4,FALSE)&lt;1.5,"Moderado",IF(VLOOKUP(BP190,Fundamentus!A:U,4,FALSE)&gt;1.5,"Alto","n/a")))</f>
        <v>Baixo</v>
      </c>
      <c r="EN190" s="17" t="str">
        <f>IF(VLOOKUP(BP190,Fundamentus!A:U,8,FALSE)&lt;0,"Risco elevado",IF(VLOOKUP(BP190,Fundamentus!A:U,8,FALSE)&lt;1,"Saudável",IF(VLOOKUP(BP190,Fundamentus!A:U,8,FALSE)&lt;3,"Estável",IF(VLOOKUP(BP190,Fundamentus!A:U,8,FALSE)&gt;3,"Alerta","n/a"))))</f>
        <v>Estável</v>
      </c>
      <c r="EO190" s="28" t="str">
        <f t="shared" si="167"/>
        <v>Ruim</v>
      </c>
      <c r="EP190" s="17" t="str">
        <f>IF(VLOOKUP(BP190,Fundamentus!A:U,12,FALSE)&lt;2,"Subvalorizada",IF(VLOOKUP(BP190,Fundamentus!A:U,12,FALSE)&lt;6,"Muita barata",IF(VLOOKUP(BP190,Fundamentus!A:U,12,FALSE)&lt;6,"Barata",IF(VLOOKUP(BP190,Fundamentus!A:U,12,FALSE)&lt;8,"Atrativa",IF(VLOOKUP(BP190,Fundamentus!A:U,12,FALSE)&gt;8,"Supervalorizada","n/a")))))</f>
        <v>Muita barata</v>
      </c>
      <c r="ER190" s="17" t="str">
        <f>IF(VLOOKUP(BP190,Fundamentus!A:U,17,FALSE)&lt;0.1,"Fraco retorno",IF(VLOOKUP(BP190,Fundamentus!A:U,17,FALSE)&gt;0.1,"Bom retorno","n/a"))</f>
        <v>Fraco retorno</v>
      </c>
      <c r="ES190" s="17" t="str">
        <f>IF(VLOOKUP(BP190,Fundamentus!A:U,16,FALSE)&lt;0.1,"Ineficiente",IF(VLOOKUP(BP190,Fundamentus!A:U,16,FALSE)&gt;0.1,"Eficiente","n/a"))</f>
        <v>Ineficiente</v>
      </c>
      <c r="ET190" s="33" t="str">
        <f>IF(VLOOKUP(BP190,Fundamentus!A:U,16,FALSE)&lt;0.1,"Oper. Ineficiente",IF(VLOOKUP(BP190,Fundamentus!A:U,16,FALSE)&gt;0.1,"Oper.Eficiente","n/a"))</f>
        <v>Oper. Ineficiente</v>
      </c>
      <c r="EU190" s="34">
        <f>VLOOKUP(BP190,Fundamentus!A:U,14,FALSE)</f>
        <v>2.3599999999999999E-2</v>
      </c>
      <c r="EV190" s="17" t="str">
        <f>IF(VLOOKUP(BP190,Fundamentus!A:U,21,FALSE)&lt;0,"Negativo",IF(VLOOKUP(BP190,Fundamentus!A:U,21,FALSE)&lt;0.05,"Fraco",IF(VLOOKUP(BP190,Fundamentus!A:U,21,FALSE)&lt;0.1,"Bom",IF(VLOOKUP(BP190,Fundamentus!A:U,21,FALSE)&gt;0.1,"Muito bom","n/a"))))</f>
        <v>Bom</v>
      </c>
      <c r="EX190" s="29" t="str">
        <f>IF(VLOOKUP(BP190,Fundamentus!A:U,15,FALSE)&gt;1,"Bom",IF(VLOOKUP(BP190,Fundamentus!A:U,15,FALSE)&lt;1,"Ruim","n/a"))</f>
        <v>Bom</v>
      </c>
      <c r="EY190" s="17" t="str">
        <f>IF(VLOOKUP(BP190,Fundamentus!A:U,20,FALSE)&lt;0.5,"Baixa",IF(VLOOKUP(BP190,Fundamentus!A:U,20,FALSE)&lt;1,"Moderada",IF(VLOOKUP(BP190,Fundamentus!A:U,20,FALSE)&lt;2,"Alerta",IF(VLOOKUP(BP190,Fundamentus!A:U,20,FALSE)&gt;2,"Alta","n/a"))))</f>
        <v>Baixa</v>
      </c>
      <c r="EZ190" s="10"/>
    </row>
    <row r="191" spans="1:156" s="2" customFormat="1" ht="11.25" x14ac:dyDescent="0.2">
      <c r="A191" s="4">
        <v>0.95</v>
      </c>
      <c r="B191" s="4">
        <v>1.01</v>
      </c>
      <c r="C191" s="4">
        <v>1.18</v>
      </c>
      <c r="D191" s="4">
        <v>1.18</v>
      </c>
      <c r="E191" s="4">
        <v>1.1599999999999999</v>
      </c>
      <c r="F191" s="4">
        <v>1.1200000000000001</v>
      </c>
      <c r="G191" s="4">
        <v>1.07</v>
      </c>
      <c r="H191" s="4">
        <v>1.02</v>
      </c>
      <c r="I191" s="4">
        <v>1.02</v>
      </c>
      <c r="J191" s="4">
        <v>1.05</v>
      </c>
      <c r="K191" s="4">
        <v>1.08</v>
      </c>
      <c r="L191" s="4">
        <v>1.05</v>
      </c>
      <c r="M191" s="4">
        <v>0.99</v>
      </c>
      <c r="N191" s="4">
        <v>1</v>
      </c>
      <c r="O191" s="4">
        <v>1.03</v>
      </c>
      <c r="P191" s="4">
        <v>1</v>
      </c>
      <c r="Q191" s="4">
        <v>1.0900000000000001</v>
      </c>
      <c r="R191" s="4">
        <v>1.06</v>
      </c>
      <c r="S191" s="4">
        <v>1.1399999999999999</v>
      </c>
      <c r="T191" s="4">
        <v>1.1100000000000001</v>
      </c>
      <c r="U191" s="4">
        <v>1.05</v>
      </c>
      <c r="V191" s="4">
        <v>1.05</v>
      </c>
      <c r="W191" s="4">
        <v>1</v>
      </c>
      <c r="X191" s="4">
        <v>0.97</v>
      </c>
      <c r="Y191" s="4">
        <v>0.94</v>
      </c>
      <c r="Z191" s="4">
        <v>0.94</v>
      </c>
      <c r="AA191" s="4">
        <v>0.95</v>
      </c>
      <c r="AB191" s="4">
        <v>1.02</v>
      </c>
      <c r="AC191" s="4">
        <v>0.96</v>
      </c>
      <c r="AD191" s="4">
        <v>0.96</v>
      </c>
      <c r="AE191" s="4">
        <v>0.89</v>
      </c>
      <c r="AF191" s="4">
        <v>0.84</v>
      </c>
      <c r="AG191" s="4">
        <v>0.81</v>
      </c>
      <c r="AH191" s="4">
        <v>0.71</v>
      </c>
      <c r="AI191" s="4">
        <v>0.72</v>
      </c>
      <c r="AJ191" s="4">
        <v>0.73</v>
      </c>
      <c r="AK191" s="4">
        <v>0.71</v>
      </c>
      <c r="AL191" s="4">
        <v>0.73</v>
      </c>
      <c r="AM191" s="4">
        <v>0.75</v>
      </c>
      <c r="AN191" s="4">
        <v>0.73</v>
      </c>
      <c r="AO191" s="4">
        <v>0.72</v>
      </c>
      <c r="AP191" s="4">
        <v>0.72</v>
      </c>
      <c r="AQ191" s="4">
        <v>0.72</v>
      </c>
      <c r="AR191" s="4">
        <v>0.71</v>
      </c>
      <c r="AS191" s="4">
        <v>0.67</v>
      </c>
      <c r="AT191" s="4">
        <v>0.71</v>
      </c>
      <c r="AU191" s="4">
        <v>0.73</v>
      </c>
      <c r="AV191" s="4">
        <v>0.73</v>
      </c>
      <c r="AW191" s="4">
        <v>0.71</v>
      </c>
      <c r="AX191" s="4">
        <v>0.72</v>
      </c>
      <c r="AY191" s="12">
        <v>0.77</v>
      </c>
      <c r="AZ191" s="12">
        <v>0.8</v>
      </c>
      <c r="BA191" s="12">
        <v>0.82</v>
      </c>
      <c r="BB191" s="15">
        <v>0.89</v>
      </c>
      <c r="BC191" s="52">
        <v>0.94</v>
      </c>
      <c r="BD191" s="52">
        <v>1.1200000000000001</v>
      </c>
      <c r="BE191" s="52">
        <v>1</v>
      </c>
      <c r="BF191" s="52">
        <v>1.01</v>
      </c>
      <c r="BG191" s="67">
        <v>1.02</v>
      </c>
      <c r="BH191" s="52">
        <v>1.03</v>
      </c>
      <c r="BI191" s="52">
        <v>1.03</v>
      </c>
      <c r="BJ191" s="52">
        <v>1.1100000000000001</v>
      </c>
      <c r="BK191" s="52">
        <v>1.1200000000000001</v>
      </c>
      <c r="BL191" s="52">
        <v>1.1200000000000001</v>
      </c>
      <c r="BM191" s="52">
        <v>1.06</v>
      </c>
      <c r="BN191" s="52">
        <v>1.05</v>
      </c>
      <c r="BO191" s="52" cm="1">
        <f t="array" aca="1" ref="BO191" ca="1">_FV(EC191,"Preço")</f>
        <v>1.05</v>
      </c>
      <c r="BP191" s="66" t="s">
        <v>180</v>
      </c>
      <c r="BQ191" s="36" cm="1">
        <f t="array" aca="1" ref="BQ191" ca="1">_FV(EC191,"Média de volume",TRUE)</f>
        <v>204300</v>
      </c>
      <c r="BR191" s="36">
        <v>98800</v>
      </c>
      <c r="BS191" s="36" cm="1">
        <f t="array" aca="1" ref="BS191" ca="1">_FV(EC191,"Volume")</f>
        <v>98800</v>
      </c>
      <c r="BT191" s="24" cm="1">
        <f t="array" aca="1" ref="BT191" ca="1">_FV(EC191,"Beta")</f>
        <v>1.5874999999999999</v>
      </c>
      <c r="BU191" s="71" cm="1">
        <f t="array" aca="1" ref="BU191" ca="1">_FV(EC191,"Variação (%)",TRUE)</f>
        <v>1.9417E-2</v>
      </c>
      <c r="BW191" s="17" cm="1">
        <f t="array" aca="1" ref="BW191" ca="1">_FV(EC191,"Baixo")</f>
        <v>1.02</v>
      </c>
      <c r="BX191" s="17" cm="1">
        <f t="array" aca="1" ref="BX191" ca="1">_FV(EC191,"Alto")</f>
        <v>1.06</v>
      </c>
      <c r="BY191" s="24"/>
      <c r="BZ191" s="63">
        <f ca="1">SQRT(22.5*(BO191/VLOOKUP(BP191,Fundamentus!A:U,3,FALSE))*(BO191/VLOOKUP(BP191,Fundamentus!A:U,4,FALSE)))</f>
        <v>1.1034916569590054</v>
      </c>
      <c r="CB191" s="62">
        <f t="shared" ca="1" si="168"/>
        <v>0</v>
      </c>
      <c r="CC191" s="8"/>
      <c r="CD191" s="61">
        <f t="shared" si="169"/>
        <v>0.67</v>
      </c>
      <c r="CE191" s="61">
        <f t="shared" si="170"/>
        <v>1.18</v>
      </c>
      <c r="CF191" s="61">
        <f t="shared" si="171"/>
        <v>0.93636363636363606</v>
      </c>
      <c r="CG191" s="14"/>
      <c r="CH191" s="35">
        <f t="shared" si="154"/>
        <v>0.95881176583689676</v>
      </c>
      <c r="CI191" s="15">
        <f t="shared" si="172"/>
        <v>1.0200000000000102</v>
      </c>
      <c r="CJ191" s="35">
        <f t="shared" si="155"/>
        <v>1.0811882341631236</v>
      </c>
      <c r="CL191" s="14"/>
      <c r="CM191" s="17">
        <f t="shared" si="156"/>
        <v>0.24333333333333373</v>
      </c>
      <c r="CN191" s="17">
        <f t="shared" si="157"/>
        <v>0.45666666666666689</v>
      </c>
      <c r="CO191" s="17">
        <f t="shared" si="158"/>
        <v>0.75333333333333363</v>
      </c>
      <c r="CP191" s="38">
        <f t="shared" si="173"/>
        <v>0.96666666666666679</v>
      </c>
      <c r="CQ191" s="17">
        <f t="shared" si="159"/>
        <v>1.2633333333333336</v>
      </c>
      <c r="CR191" s="17">
        <f t="shared" si="160"/>
        <v>1.4766666666666666</v>
      </c>
      <c r="CS191" s="17">
        <f t="shared" si="161"/>
        <v>1.7733333333333334</v>
      </c>
      <c r="CT191" s="2" cm="1">
        <f t="array" aca="1" ref="CT191" ca="1">MAX(_xlfn._xlws.FILTER(CM191:CS191,CM191:CS191&lt;BO191))</f>
        <v>0.96666666666666679</v>
      </c>
      <c r="CU191" s="2" cm="1">
        <f t="array" aca="1" ref="CU191" ca="1">MIN(_xlfn._xlws.FILTER($CM191:$CS191,$CM191:$CS191&gt;BO191))</f>
        <v>1.2633333333333336</v>
      </c>
      <c r="CV191" s="16">
        <f t="shared" ca="1" si="209"/>
        <v>0.30689655172413799</v>
      </c>
      <c r="CW191" s="20">
        <f t="shared" ca="1" si="210"/>
        <v>-0.15344827586206899</v>
      </c>
      <c r="CX191" s="20">
        <f t="shared" ca="1" si="211"/>
        <v>-0.10229885057471266</v>
      </c>
      <c r="CY191" s="20">
        <f t="shared" ca="1" si="212"/>
        <v>-6.1379310344827596E-2</v>
      </c>
      <c r="CZ191" s="20">
        <f t="shared" ca="1" si="213"/>
        <v>-3.4099616858237557E-2</v>
      </c>
      <c r="DA191" s="20">
        <f t="shared" ca="1" si="214"/>
        <v>-1.8052738336713999E-2</v>
      </c>
      <c r="DB191" s="20">
        <f t="shared" ca="1" si="215"/>
        <v>-9.2998955067920604E-3</v>
      </c>
      <c r="DC191" s="20">
        <f t="shared" ca="1" si="216"/>
        <v>-4.7214854111405843E-3</v>
      </c>
      <c r="DD191" s="21">
        <f t="shared" ca="1" si="217"/>
        <v>4.7214854111405843E-3</v>
      </c>
      <c r="DE191" s="21">
        <f t="shared" ca="1" si="218"/>
        <v>9.2998955067920604E-3</v>
      </c>
      <c r="DF191" s="21">
        <f t="shared" ca="1" si="219"/>
        <v>1.8052738336713999E-2</v>
      </c>
      <c r="DG191" s="21">
        <f t="shared" ca="1" si="220"/>
        <v>3.4099616858237557E-2</v>
      </c>
      <c r="DH191" s="21">
        <f t="shared" ca="1" si="221"/>
        <v>6.1379310344827596E-2</v>
      </c>
      <c r="DI191" s="21">
        <f t="shared" ca="1" si="222"/>
        <v>0.10229885057471266</v>
      </c>
      <c r="DJ191" s="21">
        <f t="shared" ca="1" si="223"/>
        <v>0.15344827586206899</v>
      </c>
      <c r="DL191" s="16" cm="1">
        <f t="array" aca="1" ref="DL191" ca="1">MAX(_xlfn._xlws.FILTER(CW191:DJ191,CW191:DJ191&lt;BU191))</f>
        <v>1.8052738336713999E-2</v>
      </c>
      <c r="DM191" s="16" cm="1">
        <f t="array" aca="1" ref="DM191" ca="1">MIN(_xlfn._xlws.FILTER(CW191:DJ191,CW191:DJ191&gt;BU191))</f>
        <v>3.4099616858237557E-2</v>
      </c>
      <c r="DN191" s="2" cm="1">
        <f t="array" aca="1" ref="DN191" ca="1">_FV(EC191,"Fechamento anterior",TRUE)</f>
        <v>1.03</v>
      </c>
      <c r="DO191" s="28">
        <f t="shared" ca="1" si="162"/>
        <v>8.5046907385193465E-2</v>
      </c>
      <c r="DP191" s="15">
        <f t="shared" ca="1" si="224"/>
        <v>1.0485943204868153</v>
      </c>
      <c r="DQ191" s="15">
        <f t="shared" ca="1" si="225"/>
        <v>1.0651226053639846</v>
      </c>
      <c r="DR191" s="9"/>
      <c r="DS191" s="9"/>
      <c r="DT191" s="9"/>
      <c r="DU191" s="89">
        <v>9.2187471866616195E-3</v>
      </c>
      <c r="DV191" s="89">
        <f t="shared" ca="1" si="163"/>
        <v>1.6046878521523558E-2</v>
      </c>
      <c r="DW191" s="72">
        <f t="shared" ca="1" si="164"/>
        <v>0.49029033784529313</v>
      </c>
      <c r="DX191" s="37"/>
      <c r="DY191" s="35">
        <f t="shared" si="174"/>
        <v>3.0594117081556738E-2</v>
      </c>
      <c r="DZ191" s="56"/>
      <c r="EA191" s="56"/>
      <c r="EC191" s="2" t="e" vm="193">
        <v>#VALUE!</v>
      </c>
      <c r="EE191" s="10" cm="1">
        <f t="array" aca="1" ref="EE191" ca="1">_FV(EC191,"Ações em circulação",TRUE)</f>
        <v>361423100</v>
      </c>
      <c r="EF191" s="18">
        <f>VLOOKUP(BP191,Fundamentus!A:U,5,FALSE)</f>
        <v>0.38</v>
      </c>
      <c r="EG191" s="2">
        <f t="shared" ca="1" si="165"/>
        <v>998669092.10526311</v>
      </c>
      <c r="EH191" s="17">
        <v>7889485.8276315797</v>
      </c>
      <c r="EI191" s="17">
        <f t="shared" ca="1" si="166"/>
        <v>7889485.8276315797</v>
      </c>
      <c r="EK191" s="16">
        <f t="shared" ca="1" si="153"/>
        <v>0</v>
      </c>
      <c r="EL191" s="32" t="str">
        <f>IF(VLOOKUP(BP191,Fundamentus!A:U,3,FALSE)&lt;15,"Bom",IF(VLOOKUP(BP191,Fundamentus!A:U,3,FALSE)&gt;15,"Ruim","n/a"))</f>
        <v>Ruim</v>
      </c>
      <c r="EM191" s="28" t="str">
        <f>IF(VLOOKUP(BP191,Fundamentus!A:U,4,FALSE)&lt;1,"Baixo",IF(VLOOKUP(BP191,Fundamentus!A:U,4,FALSE)&lt;1.5,"Moderado",IF(VLOOKUP(BP191,Fundamentus!A:U,4,FALSE)&gt;1.5,"Alto","n/a")))</f>
        <v>Baixo</v>
      </c>
      <c r="EN191" s="17" t="str">
        <f>IF(VLOOKUP(BP191,Fundamentus!A:U,8,FALSE)&lt;0,"Risco elevado",IF(VLOOKUP(BP191,Fundamentus!A:U,8,FALSE)&lt;1,"Saudável",IF(VLOOKUP(BP191,Fundamentus!A:U,8,FALSE)&lt;3,"Estável",IF(VLOOKUP(BP191,Fundamentus!A:U,8,FALSE)&gt;3,"Alerta","n/a"))))</f>
        <v>Estável</v>
      </c>
      <c r="EO191" s="28" t="str">
        <f t="shared" si="167"/>
        <v>Ruim</v>
      </c>
      <c r="EP191" s="17" t="str">
        <f>IF(VLOOKUP(BP191,Fundamentus!A:U,12,FALSE)&lt;2,"Subvalorizada",IF(VLOOKUP(BP191,Fundamentus!A:U,12,FALSE)&lt;6,"Muita barata",IF(VLOOKUP(BP191,Fundamentus!A:U,12,FALSE)&lt;6,"Barata",IF(VLOOKUP(BP191,Fundamentus!A:U,12,FALSE)&lt;8,"Atrativa",IF(VLOOKUP(BP191,Fundamentus!A:U,12,FALSE)&gt;8,"Supervalorizada","n/a")))))</f>
        <v>Muita barata</v>
      </c>
      <c r="ER191" s="17" t="str">
        <f>IF(VLOOKUP(BP191,Fundamentus!A:U,17,FALSE)&lt;0.1,"Fraco retorno",IF(VLOOKUP(BP191,Fundamentus!A:U,17,FALSE)&gt;0.1,"Bom retorno","n/a"))</f>
        <v>Fraco retorno</v>
      </c>
      <c r="ES191" s="17" t="str">
        <f>IF(VLOOKUP(BP191,Fundamentus!A:U,16,FALSE)&lt;0.1,"Ineficiente",IF(VLOOKUP(BP191,Fundamentus!A:U,16,FALSE)&gt;0.1,"Eficiente","n/a"))</f>
        <v>Ineficiente</v>
      </c>
      <c r="ET191" s="33" t="str">
        <f>IF(VLOOKUP(BP191,Fundamentus!A:U,16,FALSE)&lt;0.1,"Oper. Ineficiente",IF(VLOOKUP(BP191,Fundamentus!A:U,16,FALSE)&gt;0.1,"Oper.Eficiente","n/a"))</f>
        <v>Oper. Ineficiente</v>
      </c>
      <c r="EU191" s="34">
        <f>VLOOKUP(BP191,Fundamentus!A:U,14,FALSE)</f>
        <v>7.9000000000000008E-3</v>
      </c>
      <c r="EV191" s="17" t="str">
        <f>IF(VLOOKUP(BP191,Fundamentus!A:U,21,FALSE)&lt;0,"Negativo",IF(VLOOKUP(BP191,Fundamentus!A:U,21,FALSE)&lt;0.05,"Fraco",IF(VLOOKUP(BP191,Fundamentus!A:U,21,FALSE)&lt;0.1,"Bom",IF(VLOOKUP(BP191,Fundamentus!A:U,21,FALSE)&gt;0.1,"Muito bom","n/a"))))</f>
        <v>Muito bom</v>
      </c>
      <c r="EX191" s="29" t="str">
        <f>IF(VLOOKUP(BP191,Fundamentus!A:U,15,FALSE)&gt;1,"Bom",IF(VLOOKUP(BP191,Fundamentus!A:U,15,FALSE)&lt;1,"Ruim","n/a"))</f>
        <v>Bom</v>
      </c>
      <c r="EY191" s="17" t="str">
        <f>IF(VLOOKUP(BP191,Fundamentus!A:U,20,FALSE)&lt;0.5,"Baixa",IF(VLOOKUP(BP191,Fundamentus!A:U,20,FALSE)&lt;1,"Moderada",IF(VLOOKUP(BP191,Fundamentus!A:U,20,FALSE)&lt;2,"Alerta",IF(VLOOKUP(BP191,Fundamentus!A:U,20,FALSE)&gt;2,"Alta","n/a"))))</f>
        <v>Moderada</v>
      </c>
      <c r="EZ191" s="10"/>
    </row>
    <row r="192" spans="1:156" s="2" customFormat="1" ht="11.25" x14ac:dyDescent="0.2">
      <c r="A192" s="4">
        <v>5.81</v>
      </c>
      <c r="B192" s="4">
        <v>5.68</v>
      </c>
      <c r="C192" s="4">
        <v>5.63</v>
      </c>
      <c r="D192" s="4">
        <v>5.54</v>
      </c>
      <c r="E192" s="4">
        <v>5.0199999999999996</v>
      </c>
      <c r="F192" s="4">
        <v>5</v>
      </c>
      <c r="G192" s="4">
        <v>4.87</v>
      </c>
      <c r="H192" s="4">
        <v>4.66</v>
      </c>
      <c r="I192" s="4">
        <v>4.5</v>
      </c>
      <c r="J192" s="4">
        <v>4.97</v>
      </c>
      <c r="K192" s="4">
        <v>5</v>
      </c>
      <c r="L192" s="4">
        <v>4.49</v>
      </c>
      <c r="M192" s="4">
        <v>4.91</v>
      </c>
      <c r="N192" s="4">
        <v>4.6900000000000004</v>
      </c>
      <c r="O192" s="4">
        <v>4.6100000000000003</v>
      </c>
      <c r="P192" s="4">
        <v>4.41</v>
      </c>
      <c r="Q192" s="4">
        <v>4.7699999999999996</v>
      </c>
      <c r="R192" s="4">
        <v>4.66</v>
      </c>
      <c r="S192" s="4">
        <v>4.7</v>
      </c>
      <c r="T192" s="4">
        <v>4.83</v>
      </c>
      <c r="U192" s="4">
        <v>4.54</v>
      </c>
      <c r="V192" s="4">
        <v>4.49</v>
      </c>
      <c r="W192" s="4">
        <v>4.63</v>
      </c>
      <c r="X192" s="4">
        <v>4.45</v>
      </c>
      <c r="Y192" s="4">
        <v>4.25</v>
      </c>
      <c r="Z192" s="4">
        <v>4.18</v>
      </c>
      <c r="AA192" s="4">
        <v>4.07</v>
      </c>
      <c r="AB192" s="4">
        <v>4.43</v>
      </c>
      <c r="AC192" s="4">
        <v>4.3</v>
      </c>
      <c r="AD192" s="4">
        <v>4.24</v>
      </c>
      <c r="AE192" s="4">
        <v>4.13</v>
      </c>
      <c r="AF192" s="4">
        <v>3.93</v>
      </c>
      <c r="AG192" s="4">
        <v>3.95</v>
      </c>
      <c r="AH192" s="4">
        <v>3.61</v>
      </c>
      <c r="AI192" s="4">
        <v>3.56</v>
      </c>
      <c r="AJ192" s="4">
        <v>3.61</v>
      </c>
      <c r="AK192" s="4">
        <v>3.65</v>
      </c>
      <c r="AL192" s="4">
        <v>3.51</v>
      </c>
      <c r="AM192" s="4">
        <v>3.6</v>
      </c>
      <c r="AN192" s="4">
        <v>3.86</v>
      </c>
      <c r="AO192" s="4">
        <v>4</v>
      </c>
      <c r="AP192" s="4">
        <v>3.92</v>
      </c>
      <c r="AQ192" s="4">
        <v>3.84</v>
      </c>
      <c r="AR192" s="4">
        <v>3.7</v>
      </c>
      <c r="AS192" s="4">
        <v>3.8</v>
      </c>
      <c r="AT192" s="4">
        <v>4.05</v>
      </c>
      <c r="AU192" s="4">
        <v>3.5750000000000002</v>
      </c>
      <c r="AV192" s="4">
        <v>4.08</v>
      </c>
      <c r="AW192" s="4">
        <v>3.95</v>
      </c>
      <c r="AX192" s="4">
        <v>3.84</v>
      </c>
      <c r="AY192" s="12">
        <v>4.22</v>
      </c>
      <c r="AZ192" s="12">
        <v>4.78</v>
      </c>
      <c r="BA192" s="12">
        <v>4.79</v>
      </c>
      <c r="BB192" s="15">
        <v>4.5599999999999996</v>
      </c>
      <c r="BC192" s="52">
        <v>4.4400000000000004</v>
      </c>
      <c r="BD192" s="52">
        <v>4.95</v>
      </c>
      <c r="BE192" s="52">
        <v>4.74</v>
      </c>
      <c r="BF192" s="52">
        <v>4.66</v>
      </c>
      <c r="BG192" s="67">
        <v>4.4000000000000004</v>
      </c>
      <c r="BH192" s="52">
        <v>4.7300000000000004</v>
      </c>
      <c r="BI192" s="52">
        <v>4.59</v>
      </c>
      <c r="BJ192" s="52">
        <v>4.62</v>
      </c>
      <c r="BK192" s="52">
        <v>4.58</v>
      </c>
      <c r="BL192" s="52">
        <v>4.3099999999999996</v>
      </c>
      <c r="BM192" s="52">
        <v>4.43</v>
      </c>
      <c r="BN192" s="52">
        <v>4.2300000000000004</v>
      </c>
      <c r="BO192" s="52" cm="1">
        <f t="array" aca="1" ref="BO192" ca="1">_FV(EC192,"Preço")</f>
        <v>4.2300000000000004</v>
      </c>
      <c r="BP192" s="69" t="s">
        <v>188</v>
      </c>
      <c r="BQ192" s="36" cm="1">
        <f t="array" aca="1" ref="BQ192" ca="1">_FV(EC192,"Média de volume",TRUE)</f>
        <v>318660</v>
      </c>
      <c r="BR192" s="36">
        <v>319000</v>
      </c>
      <c r="BS192" s="36" cm="1">
        <f t="array" aca="1" ref="BS192" ca="1">_FV(EC192,"Volume")</f>
        <v>319000</v>
      </c>
      <c r="BT192" s="24" cm="1">
        <f t="array" aca="1" ref="BT192" ca="1">_FV(EC192,"Beta")</f>
        <v>1.5677000000000001</v>
      </c>
      <c r="BU192" s="71" cm="1">
        <f t="array" aca="1" ref="BU192" ca="1">_FV(EC192,"Variação (%)",TRUE)</f>
        <v>-1.8561000000000001E-2</v>
      </c>
      <c r="BW192" s="17" cm="1">
        <f t="array" aca="1" ref="BW192" ca="1">_FV(EC192,"Baixo")</f>
        <v>4.18</v>
      </c>
      <c r="BX192" s="17" cm="1">
        <f t="array" aca="1" ref="BX192" ca="1">_FV(EC192,"Alto")</f>
        <v>4.45</v>
      </c>
      <c r="BY192" s="24"/>
      <c r="BZ192" s="63" t="e">
        <f ca="1">SQRT(22.5*(BO192/VLOOKUP(BP192,Fundamentus!A:U,3,FALSE))*(BO192/VLOOKUP(BP192,Fundamentus!A:U,4,FALSE)))</f>
        <v>#NUM!</v>
      </c>
      <c r="CB192" s="62">
        <f t="shared" ca="1" si="168"/>
        <v>0</v>
      </c>
      <c r="CC192" s="8"/>
      <c r="CD192" s="61">
        <f t="shared" si="169"/>
        <v>3.51</v>
      </c>
      <c r="CE192" s="61">
        <f t="shared" si="170"/>
        <v>5.81</v>
      </c>
      <c r="CF192" s="61">
        <f t="shared" si="171"/>
        <v>4.4170454545454554</v>
      </c>
      <c r="CG192" s="14"/>
      <c r="CH192" s="35">
        <f t="shared" si="154"/>
        <v>3.854440521693379</v>
      </c>
      <c r="CI192" s="15">
        <f t="shared" si="172"/>
        <v>4.1550000000000864</v>
      </c>
      <c r="CJ192" s="35">
        <f t="shared" si="155"/>
        <v>4.4555594783067933</v>
      </c>
      <c r="CL192" s="14"/>
      <c r="CM192" s="17">
        <f t="shared" si="156"/>
        <v>0.92333333333333378</v>
      </c>
      <c r="CN192" s="17">
        <f t="shared" si="157"/>
        <v>2.2166666666666668</v>
      </c>
      <c r="CO192" s="17">
        <f t="shared" si="158"/>
        <v>3.2233333333333336</v>
      </c>
      <c r="CP192" s="38">
        <f t="shared" si="173"/>
        <v>4.5166666666666666</v>
      </c>
      <c r="CQ192" s="17">
        <f t="shared" si="159"/>
        <v>5.5233333333333334</v>
      </c>
      <c r="CR192" s="17">
        <f t="shared" si="160"/>
        <v>6.8166666666666664</v>
      </c>
      <c r="CS192" s="17">
        <f t="shared" si="161"/>
        <v>7.8233333333333333</v>
      </c>
      <c r="CT192" s="2" cm="1">
        <f t="array" aca="1" ref="CT192" ca="1">MAX(_xlfn._xlws.FILTER(CM192:CS192,CM192:CS192&lt;BO192))</f>
        <v>3.2233333333333336</v>
      </c>
      <c r="CU192" s="2" cm="1">
        <f t="array" aca="1" ref="CU192" ca="1">MIN(_xlfn._xlws.FILTER($CM192:$CS192,$CM192:$CS192&gt;BO192))</f>
        <v>4.5166666666666666</v>
      </c>
      <c r="CV192" s="16">
        <f t="shared" ca="1" si="209"/>
        <v>0.40124095139607019</v>
      </c>
      <c r="CW192" s="20">
        <f t="shared" ca="1" si="210"/>
        <v>-0.20062047569803509</v>
      </c>
      <c r="CX192" s="20">
        <f t="shared" ca="1" si="211"/>
        <v>-0.13374698379869007</v>
      </c>
      <c r="CY192" s="20">
        <f t="shared" ca="1" si="212"/>
        <v>-8.0248190279214038E-2</v>
      </c>
      <c r="CZ192" s="20">
        <f t="shared" ca="1" si="213"/>
        <v>-4.4582327932896688E-2</v>
      </c>
      <c r="DA192" s="20">
        <f t="shared" ca="1" si="214"/>
        <v>-2.3602408905651188E-2</v>
      </c>
      <c r="DB192" s="20">
        <f t="shared" ca="1" si="215"/>
        <v>-1.2158816708971823E-2</v>
      </c>
      <c r="DC192" s="20">
        <f t="shared" ca="1" si="216"/>
        <v>-6.1729377137856953E-3</v>
      </c>
      <c r="DD192" s="21">
        <f t="shared" ca="1" si="217"/>
        <v>6.1729377137856953E-3</v>
      </c>
      <c r="DE192" s="21">
        <f t="shared" ca="1" si="218"/>
        <v>1.2158816708971823E-2</v>
      </c>
      <c r="DF192" s="21">
        <f t="shared" ca="1" si="219"/>
        <v>2.3602408905651188E-2</v>
      </c>
      <c r="DG192" s="21">
        <f t="shared" ca="1" si="220"/>
        <v>4.4582327932896688E-2</v>
      </c>
      <c r="DH192" s="21">
        <f t="shared" ca="1" si="221"/>
        <v>8.0248190279214038E-2</v>
      </c>
      <c r="DI192" s="21">
        <f t="shared" ca="1" si="222"/>
        <v>0.13374698379869007</v>
      </c>
      <c r="DJ192" s="21">
        <f t="shared" ca="1" si="223"/>
        <v>0.20062047569803509</v>
      </c>
      <c r="DL192" s="16" cm="1">
        <f t="array" aca="1" ref="DL192" ca="1">MAX(_xlfn._xlws.FILTER(CW192:DJ192,CW192:DJ192&lt;BU192))</f>
        <v>-2.3602408905651188E-2</v>
      </c>
      <c r="DM192" s="16" cm="1">
        <f t="array" aca="1" ref="DM192" ca="1">MIN(_xlfn._xlws.FILTER(CW192:DJ192,CW192:DJ192&gt;BU192))</f>
        <v>-1.2158816708971823E-2</v>
      </c>
      <c r="DN192" s="2" cm="1">
        <f t="array" aca="1" ref="DN192" ca="1">_FV(EC192,"Fechamento anterior",TRUE)</f>
        <v>4.3099999999999996</v>
      </c>
      <c r="DO192" s="28">
        <f t="shared" ca="1" si="162"/>
        <v>0.44050188963572312</v>
      </c>
      <c r="DP192" s="15">
        <f t="shared" ca="1" si="224"/>
        <v>4.2082736176166433</v>
      </c>
      <c r="DQ192" s="15">
        <f t="shared" ca="1" si="225"/>
        <v>4.2575954999843306</v>
      </c>
      <c r="DR192" s="9"/>
      <c r="DS192" s="9"/>
      <c r="DT192" s="9"/>
      <c r="DU192" s="89">
        <v>1.1025218373671488E-2</v>
      </c>
      <c r="DV192" s="89">
        <f t="shared" ca="1" si="163"/>
        <v>1.1443592196679364E-2</v>
      </c>
      <c r="DW192" s="72">
        <f t="shared" ca="1" si="164"/>
        <v>0.24953463594776376</v>
      </c>
      <c r="DX192" s="37"/>
      <c r="DY192" s="35">
        <f t="shared" si="174"/>
        <v>0.1502797391533536</v>
      </c>
      <c r="DZ192" s="56"/>
      <c r="EA192" s="56"/>
      <c r="EC192" s="2" t="e" vm="194">
        <v>#VALUE!</v>
      </c>
      <c r="EE192" s="10" cm="1">
        <f t="array" aca="1" ref="EE192" ca="1">_FV(EC192,"Ações em circulação",TRUE)</f>
        <v>339428000</v>
      </c>
      <c r="EF192" s="18">
        <f>VLOOKUP(BP192,Fundamentus!A:U,5,FALSE)</f>
        <v>0.68899999999999995</v>
      </c>
      <c r="EG192" s="2">
        <f t="shared" ca="1" si="165"/>
        <v>2083861306.2409294</v>
      </c>
      <c r="EH192" s="17">
        <v>-340086165.17851973</v>
      </c>
      <c r="EI192" s="17">
        <f t="shared" ca="1" si="166"/>
        <v>-340086165.17851973</v>
      </c>
      <c r="EK192" s="16">
        <f t="shared" ca="1" si="153"/>
        <v>0</v>
      </c>
      <c r="EL192" s="32" t="str">
        <f>IF(VLOOKUP(BP192,Fundamentus!A:U,3,FALSE)&lt;15,"Bom",IF(VLOOKUP(BP192,Fundamentus!A:U,3,FALSE)&gt;15,"Ruim","n/a"))</f>
        <v>Bom</v>
      </c>
      <c r="EM192" s="28" t="str">
        <f>IF(VLOOKUP(BP192,Fundamentus!A:U,4,FALSE)&lt;1,"Baixo",IF(VLOOKUP(BP192,Fundamentus!A:U,4,FALSE)&lt;1.5,"Moderado",IF(VLOOKUP(BP192,Fundamentus!A:U,4,FALSE)&gt;1.5,"Alto","n/a")))</f>
        <v>Moderado</v>
      </c>
      <c r="EN192" s="17" t="str">
        <f>IF(VLOOKUP(BP192,Fundamentus!A:U,8,FALSE)&lt;0,"Risco elevado",IF(VLOOKUP(BP192,Fundamentus!A:U,8,FALSE)&lt;1,"Saudável",IF(VLOOKUP(BP192,Fundamentus!A:U,8,FALSE)&lt;3,"Estável",IF(VLOOKUP(BP192,Fundamentus!A:U,8,FALSE)&gt;3,"Alerta","n/a"))))</f>
        <v>Estável</v>
      </c>
      <c r="EO192" s="28" t="str">
        <f t="shared" si="167"/>
        <v>Ruim</v>
      </c>
      <c r="EP192" s="17" t="str">
        <f>IF(VLOOKUP(BP192,Fundamentus!A:U,12,FALSE)&lt;2,"Subvalorizada",IF(VLOOKUP(BP192,Fundamentus!A:U,12,FALSE)&lt;6,"Muita barata",IF(VLOOKUP(BP192,Fundamentus!A:U,12,FALSE)&lt;6,"Barata",IF(VLOOKUP(BP192,Fundamentus!A:U,12,FALSE)&lt;8,"Atrativa",IF(VLOOKUP(BP192,Fundamentus!A:U,12,FALSE)&gt;8,"Supervalorizada","n/a")))))</f>
        <v>Muita barata</v>
      </c>
      <c r="ER192" s="17" t="str">
        <f>IF(VLOOKUP(BP192,Fundamentus!A:U,17,FALSE)&lt;0.1,"Fraco retorno",IF(VLOOKUP(BP192,Fundamentus!A:U,17,FALSE)&gt;0.1,"Bom retorno","n/a"))</f>
        <v>Fraco retorno</v>
      </c>
      <c r="ES192" s="17" t="str">
        <f>IF(VLOOKUP(BP192,Fundamentus!A:U,16,FALSE)&lt;0.1,"Ineficiente",IF(VLOOKUP(BP192,Fundamentus!A:U,16,FALSE)&gt;0.1,"Eficiente","n/a"))</f>
        <v>Ineficiente</v>
      </c>
      <c r="ET192" s="33" t="str">
        <f>IF(VLOOKUP(BP192,Fundamentus!A:U,16,FALSE)&lt;0.1,"Oper. Ineficiente",IF(VLOOKUP(BP192,Fundamentus!A:U,16,FALSE)&gt;0.1,"Oper.Eficiente","n/a"))</f>
        <v>Oper. Ineficiente</v>
      </c>
      <c r="EU192" s="34">
        <f>VLOOKUP(BP192,Fundamentus!A:U,14,FALSE)</f>
        <v>-0.16320000000000001</v>
      </c>
      <c r="EV192" s="17" t="str">
        <f>IF(VLOOKUP(BP192,Fundamentus!A:U,21,FALSE)&lt;0,"Negativo",IF(VLOOKUP(BP192,Fundamentus!A:U,21,FALSE)&lt;0.05,"Fraco",IF(VLOOKUP(BP192,Fundamentus!A:U,21,FALSE)&lt;0.1,"Bom",IF(VLOOKUP(BP192,Fundamentus!A:U,21,FALSE)&gt;0.1,"Muito bom","n/a"))))</f>
        <v>Muito bom</v>
      </c>
      <c r="EX192" s="29" t="str">
        <f>IF(VLOOKUP(BP192,Fundamentus!A:U,15,FALSE)&gt;1,"Bom",IF(VLOOKUP(BP192,Fundamentus!A:U,15,FALSE)&lt;1,"Ruim","n/a"))</f>
        <v>Bom</v>
      </c>
      <c r="EY192" s="17" t="str">
        <f>IF(VLOOKUP(BP192,Fundamentus!A:U,20,FALSE)&lt;0.5,"Baixa",IF(VLOOKUP(BP192,Fundamentus!A:U,20,FALSE)&lt;1,"Moderada",IF(VLOOKUP(BP192,Fundamentus!A:U,20,FALSE)&lt;2,"Alerta",IF(VLOOKUP(BP192,Fundamentus!A:U,20,FALSE)&gt;2,"Alta","n/a"))))</f>
        <v>Moderada</v>
      </c>
      <c r="EZ192" s="10"/>
    </row>
    <row r="193" spans="1:156" s="2" customFormat="1" ht="11.25" x14ac:dyDescent="0.2">
      <c r="A193" s="4">
        <v>0.82</v>
      </c>
      <c r="B193" s="4">
        <v>0.76</v>
      </c>
      <c r="C193" s="4">
        <v>0.75</v>
      </c>
      <c r="D193" s="4">
        <v>0.7</v>
      </c>
      <c r="E193" s="4">
        <v>0.66</v>
      </c>
      <c r="F193" s="4">
        <v>0.61</v>
      </c>
      <c r="G193" s="4">
        <v>0.66</v>
      </c>
      <c r="H193" s="4">
        <v>0.61</v>
      </c>
      <c r="I193" s="4">
        <v>0.53</v>
      </c>
      <c r="J193" s="4">
        <v>0.56000000000000005</v>
      </c>
      <c r="K193" s="4">
        <v>0.59</v>
      </c>
      <c r="L193" s="4">
        <v>0.52</v>
      </c>
      <c r="M193" s="4">
        <v>3.82</v>
      </c>
      <c r="N193" s="4">
        <v>3.56</v>
      </c>
      <c r="O193" s="4">
        <v>3.69</v>
      </c>
      <c r="P193" s="4">
        <v>4.5</v>
      </c>
      <c r="Q193" s="4">
        <v>3.55</v>
      </c>
      <c r="R193" s="4">
        <v>3.11</v>
      </c>
      <c r="S193" s="4">
        <v>2.7</v>
      </c>
      <c r="T193" s="4">
        <v>3.85</v>
      </c>
      <c r="U193" s="4">
        <v>4.3</v>
      </c>
      <c r="V193" s="4">
        <v>4.9000000000000004</v>
      </c>
      <c r="W193" s="4">
        <v>4.9000000000000004</v>
      </c>
      <c r="X193" s="4">
        <v>6.42</v>
      </c>
      <c r="Y193" s="4">
        <v>6.07</v>
      </c>
      <c r="Z193" s="4">
        <v>5.63</v>
      </c>
      <c r="AA193" s="4">
        <v>5.14</v>
      </c>
      <c r="AB193" s="4">
        <v>7.48</v>
      </c>
      <c r="AC193" s="4">
        <v>8.09</v>
      </c>
      <c r="AD193" s="4">
        <v>7.42</v>
      </c>
      <c r="AE193" s="4">
        <v>5.8</v>
      </c>
      <c r="AF193" s="4">
        <v>6.75</v>
      </c>
      <c r="AG193" s="4">
        <v>7.08</v>
      </c>
      <c r="AH193" s="4">
        <v>5.95</v>
      </c>
      <c r="AI193" s="4">
        <v>6.99</v>
      </c>
      <c r="AJ193" s="4">
        <v>6.95</v>
      </c>
      <c r="AK193" s="4">
        <v>6.58</v>
      </c>
      <c r="AL193" s="4">
        <v>6.17</v>
      </c>
      <c r="AM193" s="4">
        <v>6.11</v>
      </c>
      <c r="AN193" s="4">
        <v>6.14</v>
      </c>
      <c r="AO193" s="4">
        <v>5.05</v>
      </c>
      <c r="AP193" s="4">
        <v>5.0999999999999996</v>
      </c>
      <c r="AQ193" s="4">
        <v>5.22</v>
      </c>
      <c r="AR193" s="4">
        <v>5.2</v>
      </c>
      <c r="AS193" s="4">
        <v>5.13</v>
      </c>
      <c r="AT193" s="4">
        <v>5.46</v>
      </c>
      <c r="AU193" s="4">
        <v>5.6550000000000002</v>
      </c>
      <c r="AV193" s="4">
        <v>6.45</v>
      </c>
      <c r="AW193" s="4">
        <v>7.5</v>
      </c>
      <c r="AX193" s="4">
        <v>7.29</v>
      </c>
      <c r="AY193" s="12">
        <v>7</v>
      </c>
      <c r="AZ193" s="12">
        <v>6.6</v>
      </c>
      <c r="BA193" s="12">
        <v>6.63</v>
      </c>
      <c r="BB193" s="15">
        <v>7</v>
      </c>
      <c r="BC193" s="52">
        <v>6.97</v>
      </c>
      <c r="BD193" s="52">
        <v>7.89</v>
      </c>
      <c r="BE193" s="52">
        <v>9</v>
      </c>
      <c r="BF193" s="52">
        <v>8.19</v>
      </c>
      <c r="BG193" s="67">
        <v>7.2</v>
      </c>
      <c r="BH193" s="52">
        <v>7.85</v>
      </c>
      <c r="BI193" s="52">
        <v>7.27</v>
      </c>
      <c r="BJ193" s="52">
        <v>6.59</v>
      </c>
      <c r="BK193" s="52">
        <v>7.39</v>
      </c>
      <c r="BL193" s="52">
        <v>7.49</v>
      </c>
      <c r="BM193" s="52">
        <v>7.32</v>
      </c>
      <c r="BN193" s="52">
        <v>6.68</v>
      </c>
      <c r="BO193" s="52" cm="1">
        <f t="array" aca="1" ref="BO193" ca="1">_FV(EC193,"Preço")</f>
        <v>6.68</v>
      </c>
      <c r="BP193" s="69" t="s">
        <v>189</v>
      </c>
      <c r="BQ193" s="36" cm="1">
        <f t="array" aca="1" ref="BQ193" ca="1">_FV(EC193,"Média de volume",TRUE)</f>
        <v>15760</v>
      </c>
      <c r="BR193" s="36">
        <v>2300</v>
      </c>
      <c r="BS193" s="36" cm="1">
        <f t="array" aca="1" ref="BS193" ca="1">_FV(EC193,"Volume")</f>
        <v>2300</v>
      </c>
      <c r="BT193" s="24" cm="1">
        <f t="array" aca="1" ref="BT193" ca="1">_FV(EC193,"Beta")</f>
        <v>0.53800000000000003</v>
      </c>
      <c r="BU193" s="71" cm="1">
        <f t="array" aca="1" ref="BU193" ca="1">_FV(EC193,"Variação (%)",TRUE)</f>
        <v>-3.8849000000000002E-2</v>
      </c>
      <c r="BW193" s="17" cm="1">
        <f t="array" aca="1" ref="BW193" ca="1">_FV(EC193,"Baixo")</f>
        <v>6.68</v>
      </c>
      <c r="BX193" s="17" cm="1">
        <f t="array" aca="1" ref="BX193" ca="1">_FV(EC193,"Alto")</f>
        <v>6.94</v>
      </c>
      <c r="BY193" s="24"/>
      <c r="BZ193" s="63" t="e">
        <f ca="1">SQRT(22.5*(BO193/VLOOKUP(BP193,Fundamentus!A:U,3,FALSE))*(BO193/VLOOKUP(BP193,Fundamentus!A:U,4,FALSE)))</f>
        <v>#NUM!</v>
      </c>
      <c r="CB193" s="62">
        <f t="shared" ca="1" si="168"/>
        <v>0</v>
      </c>
      <c r="CC193" s="8"/>
      <c r="CD193" s="61">
        <f t="shared" si="169"/>
        <v>0.52</v>
      </c>
      <c r="CE193" s="61">
        <f t="shared" si="170"/>
        <v>9</v>
      </c>
      <c r="CF193" s="61">
        <f t="shared" si="171"/>
        <v>5.0991666666666653</v>
      </c>
      <c r="CG193" s="14"/>
      <c r="CH193" s="35">
        <f t="shared" si="154"/>
        <v>5.8855686337791759</v>
      </c>
      <c r="CI193" s="15">
        <f t="shared" si="172"/>
        <v>6.6449999999999818</v>
      </c>
      <c r="CJ193" s="35">
        <f t="shared" si="155"/>
        <v>7.4044313662207877</v>
      </c>
      <c r="CL193" s="14"/>
      <c r="CM193" s="17">
        <f t="shared" si="156"/>
        <v>-6.6800000000000015</v>
      </c>
      <c r="CN193" s="17">
        <f t="shared" si="157"/>
        <v>-3.080000000000001</v>
      </c>
      <c r="CO193" s="17">
        <f t="shared" si="158"/>
        <v>1.7999999999999989</v>
      </c>
      <c r="CP193" s="38">
        <f t="shared" si="173"/>
        <v>5.3999999999999995</v>
      </c>
      <c r="CQ193" s="17">
        <f t="shared" si="159"/>
        <v>10.28</v>
      </c>
      <c r="CR193" s="17">
        <f t="shared" si="160"/>
        <v>13.879999999999999</v>
      </c>
      <c r="CS193" s="17">
        <f t="shared" si="161"/>
        <v>18.759999999999998</v>
      </c>
      <c r="CT193" s="2" cm="1">
        <f t="array" aca="1" ref="CT193" ca="1">MAX(_xlfn._xlws.FILTER(CM193:CS193,CM193:CS193&lt;BO193))</f>
        <v>5.3999999999999995</v>
      </c>
      <c r="CU193" s="2" cm="1">
        <f t="array" aca="1" ref="CU193" ca="1">MIN(_xlfn._xlws.FILTER($CM193:$CS193,$CM193:$CS193&gt;BO193))</f>
        <v>10.28</v>
      </c>
      <c r="CV193" s="16">
        <f t="shared" ca="1" si="209"/>
        <v>0.90370370370370368</v>
      </c>
      <c r="CW193" s="20">
        <f t="shared" ca="1" si="210"/>
        <v>-0.45185185185185184</v>
      </c>
      <c r="CX193" s="20">
        <f t="shared" ca="1" si="211"/>
        <v>-0.30123456790123454</v>
      </c>
      <c r="CY193" s="20">
        <f t="shared" ca="1" si="212"/>
        <v>-0.18074074074074073</v>
      </c>
      <c r="CZ193" s="20">
        <f t="shared" ca="1" si="213"/>
        <v>-0.10041152263374485</v>
      </c>
      <c r="DA193" s="20">
        <f t="shared" ca="1" si="214"/>
        <v>-5.3159041394335513E-2</v>
      </c>
      <c r="DB193" s="20">
        <f t="shared" ca="1" si="215"/>
        <v>-2.7384960718294049E-2</v>
      </c>
      <c r="DC193" s="20">
        <f t="shared" ca="1" si="216"/>
        <v>-1.3903133903133903E-2</v>
      </c>
      <c r="DD193" s="21">
        <f t="shared" ca="1" si="217"/>
        <v>1.3903133903133903E-2</v>
      </c>
      <c r="DE193" s="21">
        <f t="shared" ca="1" si="218"/>
        <v>2.7384960718294049E-2</v>
      </c>
      <c r="DF193" s="21">
        <f t="shared" ca="1" si="219"/>
        <v>5.3159041394335513E-2</v>
      </c>
      <c r="DG193" s="21">
        <f t="shared" ca="1" si="220"/>
        <v>0.10041152263374485</v>
      </c>
      <c r="DH193" s="21">
        <f t="shared" ca="1" si="221"/>
        <v>0.18074074074074073</v>
      </c>
      <c r="DI193" s="21">
        <f t="shared" ca="1" si="222"/>
        <v>0.30123456790123454</v>
      </c>
      <c r="DJ193" s="21">
        <f t="shared" ca="1" si="223"/>
        <v>0.45185185185185184</v>
      </c>
      <c r="DL193" s="16" cm="1">
        <f t="array" aca="1" ref="DL193" ca="1">MAX(_xlfn._xlws.FILTER(CW193:DJ193,CW193:DJ193&lt;BU193))</f>
        <v>-5.3159041394335513E-2</v>
      </c>
      <c r="DM193" s="16" cm="1">
        <f t="array" aca="1" ref="DM193" ca="1">MIN(_xlfn._xlws.FILTER(CW193:DJ193,CW193:DJ193&gt;BU193))</f>
        <v>-2.7384960718294049E-2</v>
      </c>
      <c r="DN193" s="2" cm="1">
        <f t="array" aca="1" ref="DN193" ca="1">_FV(EC193,"Fechamento anterior",TRUE)</f>
        <v>6.95</v>
      </c>
      <c r="DO193" s="28">
        <f t="shared" ca="1" si="162"/>
        <v>0.55521361599245167</v>
      </c>
      <c r="DP193" s="15">
        <f t="shared" ca="1" si="224"/>
        <v>6.580544662309368</v>
      </c>
      <c r="DQ193" s="15">
        <f t="shared" ca="1" si="225"/>
        <v>6.7596745230078561</v>
      </c>
      <c r="DR193" s="9"/>
      <c r="DS193" s="9"/>
      <c r="DT193" s="9"/>
      <c r="DU193" s="89">
        <v>2.7947361280694614E-2</v>
      </c>
      <c r="DV193" s="89">
        <f t="shared" ca="1" si="163"/>
        <v>2.5774080676041464E-2</v>
      </c>
      <c r="DW193" s="72">
        <f t="shared" ca="1" si="164"/>
        <v>4.6087114065606817E-2</v>
      </c>
      <c r="DX193" s="37"/>
      <c r="DY193" s="35">
        <f t="shared" si="174"/>
        <v>0.37971568311040316</v>
      </c>
      <c r="DZ193" s="56"/>
      <c r="EA193" s="56"/>
      <c r="EC193" s="2" t="e" vm="195">
        <v>#VALUE!</v>
      </c>
      <c r="EE193" s="10" cm="1">
        <f t="array" aca="1" ref="EE193" ca="1">_FV(EC193,"Ações em circulação",TRUE)</f>
        <v>40021020</v>
      </c>
      <c r="EF193" s="18">
        <f>VLOOKUP(BP193,Fundamentus!A:U,5,FALSE)</f>
        <v>7.1740000000000004</v>
      </c>
      <c r="EG193" s="2">
        <f t="shared" ca="1" si="165"/>
        <v>37265181.711736828</v>
      </c>
      <c r="EH193" s="17">
        <v>-77060669.261700585</v>
      </c>
      <c r="EI193" s="17">
        <f t="shared" ca="1" si="166"/>
        <v>-77060669.261700585</v>
      </c>
      <c r="EK193" s="16">
        <f t="shared" ca="1" si="153"/>
        <v>0</v>
      </c>
      <c r="EL193" s="32" t="str">
        <f>IF(VLOOKUP(BP193,Fundamentus!A:U,3,FALSE)&lt;15,"Bom",IF(VLOOKUP(BP193,Fundamentus!A:U,3,FALSE)&gt;15,"Ruim","n/a"))</f>
        <v>Bom</v>
      </c>
      <c r="EM193" s="28" t="str">
        <f>IF(VLOOKUP(BP193,Fundamentus!A:U,4,FALSE)&lt;1,"Baixo",IF(VLOOKUP(BP193,Fundamentus!A:U,4,FALSE)&lt;1.5,"Moderado",IF(VLOOKUP(BP193,Fundamentus!A:U,4,FALSE)&gt;1.5,"Alto","n/a")))</f>
        <v>Alto</v>
      </c>
      <c r="EN193" s="17" t="str">
        <f>IF(VLOOKUP(BP193,Fundamentus!A:U,8,FALSE)&lt;0,"Risco elevado",IF(VLOOKUP(BP193,Fundamentus!A:U,8,FALSE)&lt;1,"Saudável",IF(VLOOKUP(BP193,Fundamentus!A:U,8,FALSE)&lt;3,"Estável",IF(VLOOKUP(BP193,Fundamentus!A:U,8,FALSE)&gt;3,"Alerta","n/a"))))</f>
        <v>Alerta</v>
      </c>
      <c r="EO193" s="28" t="str">
        <f t="shared" si="167"/>
        <v>Bom</v>
      </c>
      <c r="EP193" s="17" t="str">
        <f>IF(VLOOKUP(BP193,Fundamentus!A:U,12,FALSE)&lt;2,"Subvalorizada",IF(VLOOKUP(BP193,Fundamentus!A:U,12,FALSE)&lt;6,"Muita barata",IF(VLOOKUP(BP193,Fundamentus!A:U,12,FALSE)&lt;6,"Barata",IF(VLOOKUP(BP193,Fundamentus!A:U,12,FALSE)&lt;8,"Atrativa",IF(VLOOKUP(BP193,Fundamentus!A:U,12,FALSE)&gt;8,"Supervalorizada","n/a")))))</f>
        <v>Subvalorizada</v>
      </c>
      <c r="ER193" s="17" t="str">
        <f>IF(VLOOKUP(BP193,Fundamentus!A:U,17,FALSE)&lt;0.1,"Fraco retorno",IF(VLOOKUP(BP193,Fundamentus!A:U,17,FALSE)&gt;0.1,"Bom retorno","n/a"))</f>
        <v>Fraco retorno</v>
      </c>
      <c r="ES193" s="17" t="str">
        <f>IF(VLOOKUP(BP193,Fundamentus!A:U,16,FALSE)&lt;0.1,"Ineficiente",IF(VLOOKUP(BP193,Fundamentus!A:U,16,FALSE)&gt;0.1,"Eficiente","n/a"))</f>
        <v>Ineficiente</v>
      </c>
      <c r="ET193" s="33" t="str">
        <f>IF(VLOOKUP(BP193,Fundamentus!A:U,16,FALSE)&lt;0.1,"Oper. Ineficiente",IF(VLOOKUP(BP193,Fundamentus!A:U,16,FALSE)&gt;0.1,"Oper.Eficiente","n/a"))</f>
        <v>Oper. Ineficiente</v>
      </c>
      <c r="EU193" s="34">
        <f>VLOOKUP(BP193,Fundamentus!A:U,14,FALSE)</f>
        <v>-2.0678999999999998</v>
      </c>
      <c r="EV193" s="17" t="str">
        <f>IF(VLOOKUP(BP193,Fundamentus!A:U,21,FALSE)&lt;0,"Negativo",IF(VLOOKUP(BP193,Fundamentus!A:U,21,FALSE)&lt;0.05,"Fraco",IF(VLOOKUP(BP193,Fundamentus!A:U,21,FALSE)&lt;0.1,"Bom",IF(VLOOKUP(BP193,Fundamentus!A:U,21,FALSE)&gt;0.1,"Muito bom","n/a"))))</f>
        <v>Negativo</v>
      </c>
      <c r="EX193" s="29" t="str">
        <f>IF(VLOOKUP(BP193,Fundamentus!A:U,15,FALSE)&gt;1,"Bom",IF(VLOOKUP(BP193,Fundamentus!A:U,15,FALSE)&lt;1,"Ruim","n/a"))</f>
        <v>Bom</v>
      </c>
      <c r="EY193" s="17" t="str">
        <f>IF(VLOOKUP(BP193,Fundamentus!A:U,20,FALSE)&lt;0.5,"Baixa",IF(VLOOKUP(BP193,Fundamentus!A:U,20,FALSE)&lt;1,"Moderada",IF(VLOOKUP(BP193,Fundamentus!A:U,20,FALSE)&lt;2,"Alerta",IF(VLOOKUP(BP193,Fundamentus!A:U,20,FALSE)&gt;2,"Alta","n/a"))))</f>
        <v>Baixa</v>
      </c>
      <c r="EZ193" s="10"/>
    </row>
    <row r="194" spans="1:156" s="2" customFormat="1" ht="11.25" x14ac:dyDescent="0.2">
      <c r="A194" s="4">
        <v>16.37</v>
      </c>
      <c r="B194" s="4">
        <v>15.73</v>
      </c>
      <c r="C194" s="4">
        <v>15.65</v>
      </c>
      <c r="D194" s="4">
        <v>15.3</v>
      </c>
      <c r="E194" s="4">
        <v>14.78</v>
      </c>
      <c r="F194" s="4">
        <v>14.9</v>
      </c>
      <c r="G194" s="4">
        <v>14.6</v>
      </c>
      <c r="H194" s="4">
        <v>14.46</v>
      </c>
      <c r="I194" s="4">
        <v>14.6</v>
      </c>
      <c r="J194" s="4">
        <v>15.03</v>
      </c>
      <c r="K194" s="4">
        <v>15.53</v>
      </c>
      <c r="L194" s="4">
        <v>15.62</v>
      </c>
      <c r="M194" s="4">
        <v>15.56</v>
      </c>
      <c r="N194" s="4">
        <v>15.78</v>
      </c>
      <c r="O194" s="4">
        <v>17.98</v>
      </c>
      <c r="P194" s="4">
        <v>17.75</v>
      </c>
      <c r="Q194" s="4">
        <v>17.73</v>
      </c>
      <c r="R194" s="4">
        <v>17.670000000000002</v>
      </c>
      <c r="S194" s="4">
        <v>18.32</v>
      </c>
      <c r="T194" s="4">
        <v>17.88</v>
      </c>
      <c r="U194" s="4">
        <v>16.8</v>
      </c>
      <c r="V194" s="4">
        <v>16.98</v>
      </c>
      <c r="W194" s="4">
        <v>16.93</v>
      </c>
      <c r="X194" s="4">
        <v>16.350000000000001</v>
      </c>
      <c r="Y194" s="4">
        <v>16.260000000000002</v>
      </c>
      <c r="Z194" s="4">
        <v>16.23</v>
      </c>
      <c r="AA194" s="4">
        <v>16.34</v>
      </c>
      <c r="AB194" s="4">
        <v>16.3</v>
      </c>
      <c r="AC194" s="4">
        <v>16.100000000000001</v>
      </c>
      <c r="AD194" s="4">
        <v>16.14</v>
      </c>
      <c r="AE194" s="4">
        <v>16.350000000000001</v>
      </c>
      <c r="AF194" s="4">
        <v>16.190000000000001</v>
      </c>
      <c r="AG194" s="4">
        <v>15.97</v>
      </c>
      <c r="AH194" s="4">
        <v>15.74</v>
      </c>
      <c r="AI194" s="4">
        <v>15.81</v>
      </c>
      <c r="AJ194" s="4">
        <v>15</v>
      </c>
      <c r="AK194" s="4">
        <v>15.79</v>
      </c>
      <c r="AL194" s="4">
        <v>16.510000000000002</v>
      </c>
      <c r="AM194" s="4">
        <v>16.79</v>
      </c>
      <c r="AN194" s="4">
        <v>17.010000000000002</v>
      </c>
      <c r="AO194" s="4">
        <v>16.649999999999999</v>
      </c>
      <c r="AP194" s="4">
        <v>17.03</v>
      </c>
      <c r="AQ194" s="4">
        <v>16.68</v>
      </c>
      <c r="AR194" s="4">
        <v>15.79</v>
      </c>
      <c r="AS194" s="4">
        <v>16.760000000000002</v>
      </c>
      <c r="AT194" s="4">
        <v>16</v>
      </c>
      <c r="AU194" s="4">
        <v>16.085000000000001</v>
      </c>
      <c r="AV194" s="4">
        <v>16.23</v>
      </c>
      <c r="AW194" s="4">
        <v>15.21</v>
      </c>
      <c r="AX194" s="4">
        <v>15.38</v>
      </c>
      <c r="AY194" s="12">
        <v>16.649999999999999</v>
      </c>
      <c r="AZ194" s="12">
        <v>17.100000000000001</v>
      </c>
      <c r="BA194" s="12">
        <v>16.8</v>
      </c>
      <c r="BB194" s="15">
        <v>20.3</v>
      </c>
      <c r="BC194" s="52">
        <v>21.38</v>
      </c>
      <c r="BD194" s="52">
        <v>20.32</v>
      </c>
      <c r="BE194" s="52">
        <v>20.3</v>
      </c>
      <c r="BF194" s="52">
        <v>19.61</v>
      </c>
      <c r="BG194" s="67">
        <v>19.5</v>
      </c>
      <c r="BH194" s="52">
        <v>19.7</v>
      </c>
      <c r="BI194" s="52">
        <v>20.71</v>
      </c>
      <c r="BJ194" s="52">
        <v>21.88</v>
      </c>
      <c r="BK194" s="52">
        <v>20.2</v>
      </c>
      <c r="BL194" s="52">
        <v>18.829999999999998</v>
      </c>
      <c r="BM194" s="52">
        <v>18.64</v>
      </c>
      <c r="BN194" s="52">
        <v>18.579999999999998</v>
      </c>
      <c r="BO194" s="52" cm="1">
        <f t="array" aca="1" ref="BO194" ca="1">_FV(EC194,"Preço")</f>
        <v>18.579999999999998</v>
      </c>
      <c r="BP194" s="69" t="s">
        <v>190</v>
      </c>
      <c r="BQ194" s="36" cm="1">
        <f t="array" aca="1" ref="BQ194" ca="1">_FV(EC194,"Média de volume",TRUE)</f>
        <v>620370</v>
      </c>
      <c r="BR194" s="36">
        <v>374000</v>
      </c>
      <c r="BS194" s="36" cm="1">
        <f t="array" aca="1" ref="BS194" ca="1">_FV(EC194,"Volume")</f>
        <v>374000</v>
      </c>
      <c r="BT194" s="24" cm="1">
        <f t="array" aca="1" ref="BT194" ca="1">_FV(EC194,"Beta")</f>
        <v>0.94610000000000005</v>
      </c>
      <c r="BU194" s="71" cm="1">
        <f t="array" aca="1" ref="BU194" ca="1">_FV(EC194,"Variação (%)",TRUE)</f>
        <v>-1.2751999999999999E-2</v>
      </c>
      <c r="BW194" s="17" cm="1">
        <f t="array" aca="1" ref="BW194" ca="1">_FV(EC194,"Baixo")</f>
        <v>18.39</v>
      </c>
      <c r="BX194" s="17" cm="1">
        <f t="array" aca="1" ref="BX194" ca="1">_FV(EC194,"Alto")</f>
        <v>19.12</v>
      </c>
      <c r="BY194" s="24"/>
      <c r="BZ194" s="63">
        <f ca="1">SQRT(22.5*(BO194/VLOOKUP(BP194,Fundamentus!A:U,3,FALSE))*(BO194/VLOOKUP(BP194,Fundamentus!A:U,4,FALSE)))</f>
        <v>19.583298981648145</v>
      </c>
      <c r="CB194" s="62">
        <f t="shared" ca="1" si="168"/>
        <v>0</v>
      </c>
      <c r="CC194" s="8"/>
      <c r="CD194" s="61">
        <f t="shared" si="169"/>
        <v>14.46</v>
      </c>
      <c r="CE194" s="61">
        <f t="shared" si="170"/>
        <v>21.88</v>
      </c>
      <c r="CF194" s="61">
        <f t="shared" si="171"/>
        <v>16.956742424242425</v>
      </c>
      <c r="CG194" s="14"/>
      <c r="CH194" s="35">
        <f t="shared" si="154"/>
        <v>15.252857287076088</v>
      </c>
      <c r="CI194" s="15">
        <f t="shared" si="172"/>
        <v>17.799999999999727</v>
      </c>
      <c r="CJ194" s="35">
        <f t="shared" si="155"/>
        <v>20.347142712923368</v>
      </c>
      <c r="CL194" s="14"/>
      <c r="CM194" s="17">
        <f t="shared" si="156"/>
        <v>7.3133333333333397</v>
      </c>
      <c r="CN194" s="17">
        <f t="shared" si="157"/>
        <v>10.88666666666667</v>
      </c>
      <c r="CO194" s="17">
        <f t="shared" si="158"/>
        <v>14.733333333333338</v>
      </c>
      <c r="CP194" s="38">
        <f t="shared" si="173"/>
        <v>18.306666666666668</v>
      </c>
      <c r="CQ194" s="17">
        <f t="shared" si="159"/>
        <v>22.153333333333336</v>
      </c>
      <c r="CR194" s="17">
        <f t="shared" si="160"/>
        <v>25.726666666666667</v>
      </c>
      <c r="CS194" s="17">
        <f t="shared" si="161"/>
        <v>29.573333333333334</v>
      </c>
      <c r="CT194" s="2" cm="1">
        <f t="array" aca="1" ref="CT194" ca="1">MAX(_xlfn._xlws.FILTER(CM194:CS194,CM194:CS194&lt;BO194))</f>
        <v>18.306666666666668</v>
      </c>
      <c r="CU194" s="2" cm="1">
        <f t="array" aca="1" ref="CU194" ca="1">MIN(_xlfn._xlws.FILTER($CM194:$CS194,$CM194:$CS194&gt;BO194))</f>
        <v>22.153333333333336</v>
      </c>
      <c r="CV194" s="16">
        <f t="shared" ca="1" si="209"/>
        <v>0.21012381646030587</v>
      </c>
      <c r="CW194" s="20">
        <f t="shared" ca="1" si="210"/>
        <v>-0.10506190823015293</v>
      </c>
      <c r="CX194" s="20">
        <f t="shared" ca="1" si="211"/>
        <v>-7.0041272153435294E-2</v>
      </c>
      <c r="CY194" s="20">
        <f t="shared" ca="1" si="212"/>
        <v>-4.2024763292061174E-2</v>
      </c>
      <c r="CZ194" s="20">
        <f t="shared" ca="1" si="213"/>
        <v>-2.3347090717811762E-2</v>
      </c>
      <c r="DA194" s="20">
        <f t="shared" ca="1" si="214"/>
        <v>-1.2360224497665051E-2</v>
      </c>
      <c r="DB194" s="20">
        <f t="shared" ca="1" si="215"/>
        <v>-6.3673883775850265E-3</v>
      </c>
      <c r="DC194" s="20">
        <f t="shared" ca="1" si="216"/>
        <v>-3.232674099389321E-3</v>
      </c>
      <c r="DD194" s="21">
        <f t="shared" ca="1" si="217"/>
        <v>3.232674099389321E-3</v>
      </c>
      <c r="DE194" s="21">
        <f t="shared" ca="1" si="218"/>
        <v>6.3673883775850265E-3</v>
      </c>
      <c r="DF194" s="21">
        <f t="shared" ca="1" si="219"/>
        <v>1.2360224497665051E-2</v>
      </c>
      <c r="DG194" s="21">
        <f t="shared" ca="1" si="220"/>
        <v>2.3347090717811762E-2</v>
      </c>
      <c r="DH194" s="21">
        <f t="shared" ca="1" si="221"/>
        <v>4.2024763292061174E-2</v>
      </c>
      <c r="DI194" s="21">
        <f t="shared" ca="1" si="222"/>
        <v>7.0041272153435294E-2</v>
      </c>
      <c r="DJ194" s="21">
        <f t="shared" ca="1" si="223"/>
        <v>0.10506190823015293</v>
      </c>
      <c r="DL194" s="16" cm="1">
        <f t="array" aca="1" ref="DL194" ca="1">MAX(_xlfn._xlws.FILTER(CW194:DJ194,CW194:DJ194&lt;BU194))</f>
        <v>-2.3347090717811762E-2</v>
      </c>
      <c r="DM194" s="16" cm="1">
        <f t="array" aca="1" ref="DM194" ca="1">MIN(_xlfn._xlws.FILTER(CW194:DJ194,CW194:DJ194&gt;BU194))</f>
        <v>-1.2360224497665051E-2</v>
      </c>
      <c r="DN194" s="2" cm="1">
        <f t="array" aca="1" ref="DN194" ca="1">_FV(EC194,"Fechamento anterior",TRUE)</f>
        <v>18.82</v>
      </c>
      <c r="DO194" s="28">
        <f t="shared" ca="1" si="162"/>
        <v>0.96430587505087118</v>
      </c>
      <c r="DP194" s="15">
        <f t="shared" ca="1" si="224"/>
        <v>18.380607752690782</v>
      </c>
      <c r="DQ194" s="15">
        <f t="shared" ca="1" si="225"/>
        <v>18.587380574953944</v>
      </c>
      <c r="DR194" s="9"/>
      <c r="DS194" s="9"/>
      <c r="DT194" s="9"/>
      <c r="DU194" s="89">
        <v>6.5754799849416469E-3</v>
      </c>
      <c r="DV194" s="89">
        <f t="shared" ca="1" si="163"/>
        <v>1.0986866220146711E-2</v>
      </c>
      <c r="DW194" s="72">
        <f t="shared" ca="1" si="164"/>
        <v>0.30622548004190087</v>
      </c>
      <c r="DX194" s="37"/>
      <c r="DY194" s="35">
        <f t="shared" si="174"/>
        <v>1.2735713564618198</v>
      </c>
      <c r="DZ194" s="56"/>
      <c r="EA194" s="56"/>
      <c r="EC194" s="2" t="e" vm="196">
        <v>#VALUE!</v>
      </c>
      <c r="EE194" s="10" cm="1">
        <f t="array" aca="1" ref="EE194" ca="1">_FV(EC194,"Ações em circulação",TRUE)</f>
        <v>275536300</v>
      </c>
      <c r="EF194" s="18">
        <f>VLOOKUP(BP194,Fundamentus!A:U,5,FALSE)</f>
        <v>1.6259999999999999</v>
      </c>
      <c r="EG194" s="2">
        <f t="shared" ca="1" si="165"/>
        <v>3148502124.2312427</v>
      </c>
      <c r="EH194" s="17">
        <v>586565945.74428046</v>
      </c>
      <c r="EI194" s="17">
        <f t="shared" ca="1" si="166"/>
        <v>586565945.74428046</v>
      </c>
      <c r="EK194" s="16">
        <f t="shared" ca="1" si="153"/>
        <v>0</v>
      </c>
      <c r="EL194" s="32" t="str">
        <f>IF(VLOOKUP(BP194,Fundamentus!A:U,3,FALSE)&lt;15,"Bom",IF(VLOOKUP(BP194,Fundamentus!A:U,3,FALSE)&gt;15,"Ruim","n/a"))</f>
        <v>Bom</v>
      </c>
      <c r="EM194" s="28" t="str">
        <f>IF(VLOOKUP(BP194,Fundamentus!A:U,4,FALSE)&lt;1,"Baixo",IF(VLOOKUP(BP194,Fundamentus!A:U,4,FALSE)&lt;1.5,"Moderado",IF(VLOOKUP(BP194,Fundamentus!A:U,4,FALSE)&gt;1.5,"Alto","n/a")))</f>
        <v>Alto</v>
      </c>
      <c r="EN194" s="17" t="str">
        <f>IF(VLOOKUP(BP194,Fundamentus!A:U,8,FALSE)&lt;0,"Risco elevado",IF(VLOOKUP(BP194,Fundamentus!A:U,8,FALSE)&lt;1,"Saudável",IF(VLOOKUP(BP194,Fundamentus!A:U,8,FALSE)&lt;3,"Estável",IF(VLOOKUP(BP194,Fundamentus!A:U,8,FALSE)&gt;3,"Alerta","n/a"))))</f>
        <v>Alerta</v>
      </c>
      <c r="EO194" s="28" t="str">
        <f t="shared" si="167"/>
        <v>Bom</v>
      </c>
      <c r="EP194" s="17" t="str">
        <f>IF(VLOOKUP(BP194,Fundamentus!A:U,12,FALSE)&lt;2,"Subvalorizada",IF(VLOOKUP(BP194,Fundamentus!A:U,12,FALSE)&lt;6,"Muita barata",IF(VLOOKUP(BP194,Fundamentus!A:U,12,FALSE)&lt;6,"Barata",IF(VLOOKUP(BP194,Fundamentus!A:U,12,FALSE)&lt;8,"Atrativa",IF(VLOOKUP(BP194,Fundamentus!A:U,12,FALSE)&gt;8,"Supervalorizada","n/a")))))</f>
        <v>Atrativa</v>
      </c>
      <c r="ER194" s="17" t="str">
        <f>IF(VLOOKUP(BP194,Fundamentus!A:U,17,FALSE)&lt;0.1,"Fraco retorno",IF(VLOOKUP(BP194,Fundamentus!A:U,17,FALSE)&gt;0.1,"Bom retorno","n/a"))</f>
        <v>Bom retorno</v>
      </c>
      <c r="ES194" s="17" t="str">
        <f>IF(VLOOKUP(BP194,Fundamentus!A:U,16,FALSE)&lt;0.1,"Ineficiente",IF(VLOOKUP(BP194,Fundamentus!A:U,16,FALSE)&gt;0.1,"Eficiente","n/a"))</f>
        <v>Eficiente</v>
      </c>
      <c r="ET194" s="33" t="str">
        <f>IF(VLOOKUP(BP194,Fundamentus!A:U,16,FALSE)&lt;0.1,"Oper. Ineficiente",IF(VLOOKUP(BP194,Fundamentus!A:U,16,FALSE)&gt;0.1,"Oper.Eficiente","n/a"))</f>
        <v>Oper.Eficiente</v>
      </c>
      <c r="EU194" s="34">
        <f>VLOOKUP(BP194,Fundamentus!A:U,14,FALSE)</f>
        <v>0.18629999999999999</v>
      </c>
      <c r="EV194" s="17" t="str">
        <f>IF(VLOOKUP(BP194,Fundamentus!A:U,21,FALSE)&lt;0,"Negativo",IF(VLOOKUP(BP194,Fundamentus!A:U,21,FALSE)&lt;0.05,"Fraco",IF(VLOOKUP(BP194,Fundamentus!A:U,21,FALSE)&lt;0.1,"Bom",IF(VLOOKUP(BP194,Fundamentus!A:U,21,FALSE)&gt;0.1,"Muito bom","n/a"))))</f>
        <v>Muito bom</v>
      </c>
      <c r="EX194" s="29" t="str">
        <f>IF(VLOOKUP(BP194,Fundamentus!A:U,15,FALSE)&gt;1,"Bom",IF(VLOOKUP(BP194,Fundamentus!A:U,15,FALSE)&lt;1,"Ruim","n/a"))</f>
        <v>Bom</v>
      </c>
      <c r="EY194" s="17" t="str">
        <f>IF(VLOOKUP(BP194,Fundamentus!A:U,20,FALSE)&lt;0.5,"Baixa",IF(VLOOKUP(BP194,Fundamentus!A:U,20,FALSE)&lt;1,"Moderada",IF(VLOOKUP(BP194,Fundamentus!A:U,20,FALSE)&lt;2,"Alerta",IF(VLOOKUP(BP194,Fundamentus!A:U,20,FALSE)&gt;2,"Alta","n/a"))))</f>
        <v>Baixa</v>
      </c>
      <c r="EZ194" s="10"/>
    </row>
    <row r="195" spans="1:156" s="2" customFormat="1" ht="11.25" x14ac:dyDescent="0.2">
      <c r="A195" s="4">
        <v>1.37</v>
      </c>
      <c r="B195" s="4">
        <v>1.41</v>
      </c>
      <c r="C195" s="4">
        <v>1.63</v>
      </c>
      <c r="D195" s="4">
        <v>1.66</v>
      </c>
      <c r="E195" s="4">
        <v>1.62</v>
      </c>
      <c r="F195" s="4">
        <v>1.53</v>
      </c>
      <c r="G195" s="4">
        <v>1.59</v>
      </c>
      <c r="H195" s="4">
        <v>1.55</v>
      </c>
      <c r="I195" s="4">
        <v>1.56</v>
      </c>
      <c r="J195" s="4">
        <v>1.69</v>
      </c>
      <c r="K195" s="4">
        <v>1.7</v>
      </c>
      <c r="L195" s="4">
        <v>1.72</v>
      </c>
      <c r="M195" s="4">
        <v>1.79</v>
      </c>
      <c r="N195" s="4">
        <v>1.71</v>
      </c>
      <c r="O195" s="4">
        <v>1.69</v>
      </c>
      <c r="P195" s="4">
        <v>1.55</v>
      </c>
      <c r="Q195" s="4">
        <v>1.6</v>
      </c>
      <c r="R195" s="4">
        <v>1.52</v>
      </c>
      <c r="S195" s="4">
        <v>1.5</v>
      </c>
      <c r="T195" s="4">
        <v>1.45</v>
      </c>
      <c r="U195" s="4">
        <v>1.41</v>
      </c>
      <c r="V195" s="4">
        <v>1.41</v>
      </c>
      <c r="W195" s="4">
        <v>1.4</v>
      </c>
      <c r="X195" s="4">
        <v>1.43</v>
      </c>
      <c r="Y195" s="4">
        <v>1.39</v>
      </c>
      <c r="Z195" s="4">
        <v>1.5</v>
      </c>
      <c r="AA195" s="4">
        <v>1.43</v>
      </c>
      <c r="AB195" s="4">
        <v>1.39</v>
      </c>
      <c r="AC195" s="4">
        <v>1.34</v>
      </c>
      <c r="AD195" s="4">
        <v>1.42</v>
      </c>
      <c r="AE195" s="4">
        <v>1.32</v>
      </c>
      <c r="AF195" s="4">
        <v>1.33</v>
      </c>
      <c r="AG195" s="4">
        <v>1.28</v>
      </c>
      <c r="AH195" s="4">
        <v>1.21</v>
      </c>
      <c r="AI195" s="4">
        <v>1.19</v>
      </c>
      <c r="AJ195" s="4">
        <v>1.22</v>
      </c>
      <c r="AK195" s="4">
        <v>1.26</v>
      </c>
      <c r="AL195" s="4">
        <v>1.25</v>
      </c>
      <c r="AM195" s="4">
        <v>1.28</v>
      </c>
      <c r="AN195" s="4">
        <v>1.28</v>
      </c>
      <c r="AO195" s="4">
        <v>1.28</v>
      </c>
      <c r="AP195" s="4">
        <v>1.28</v>
      </c>
      <c r="AQ195" s="4">
        <v>1.26</v>
      </c>
      <c r="AR195" s="4">
        <v>1.24</v>
      </c>
      <c r="AS195" s="4">
        <v>1.19</v>
      </c>
      <c r="AT195" s="4">
        <v>1.21</v>
      </c>
      <c r="AU195" s="4">
        <v>1.39</v>
      </c>
      <c r="AV195" s="4">
        <v>1.31</v>
      </c>
      <c r="AW195" s="4">
        <v>1.28</v>
      </c>
      <c r="AX195" s="4">
        <v>1.26</v>
      </c>
      <c r="AY195" s="12">
        <v>1.29</v>
      </c>
      <c r="AZ195" s="12">
        <v>1.29</v>
      </c>
      <c r="BA195" s="12">
        <v>1.29</v>
      </c>
      <c r="BB195" s="15">
        <v>1.25</v>
      </c>
      <c r="BC195" s="52">
        <v>1.25</v>
      </c>
      <c r="BD195" s="52">
        <v>1.23</v>
      </c>
      <c r="BE195" s="52">
        <v>1.22</v>
      </c>
      <c r="BF195" s="52">
        <v>1.22</v>
      </c>
      <c r="BG195" s="67">
        <v>1.21</v>
      </c>
      <c r="BH195" s="52">
        <v>1.2</v>
      </c>
      <c r="BI195" s="52">
        <v>1.21</v>
      </c>
      <c r="BJ195" s="52">
        <v>1.2</v>
      </c>
      <c r="BK195" s="52">
        <v>1.19</v>
      </c>
      <c r="BL195" s="52">
        <v>1.1599999999999999</v>
      </c>
      <c r="BM195" s="52">
        <v>1.1599999999999999</v>
      </c>
      <c r="BN195" s="52">
        <v>1.17</v>
      </c>
      <c r="BO195" s="52" cm="1">
        <f t="array" aca="1" ref="BO195" ca="1">_FV(EC195,"Preço")</f>
        <v>1.17</v>
      </c>
      <c r="BP195" s="69" t="s">
        <v>191</v>
      </c>
      <c r="BQ195" s="36" cm="1">
        <f t="array" aca="1" ref="BQ195" ca="1">_FV(EC195,"Média de volume",TRUE)</f>
        <v>15750</v>
      </c>
      <c r="BR195" s="36">
        <v>11600</v>
      </c>
      <c r="BS195" s="36" cm="1">
        <f t="array" aca="1" ref="BS195" ca="1">_FV(EC195,"Volume")</f>
        <v>11600</v>
      </c>
      <c r="BT195" s="24" cm="1">
        <f t="array" aca="1" ref="BT195" ca="1">_FV(EC195,"Beta")</f>
        <v>1.802</v>
      </c>
      <c r="BU195" s="71" cm="1">
        <f t="array" aca="1" ref="BU195" ca="1">_FV(EC195,"Variação (%)",TRUE)</f>
        <v>8.6210000000000002E-3</v>
      </c>
      <c r="BW195" s="17" cm="1">
        <f t="array" aca="1" ref="BW195" ca="1">_FV(EC195,"Baixo")</f>
        <v>1.1599999999999999</v>
      </c>
      <c r="BX195" s="17" cm="1">
        <f t="array" aca="1" ref="BX195" ca="1">_FV(EC195,"Alto")</f>
        <v>1.17</v>
      </c>
      <c r="BY195" s="24"/>
      <c r="BZ195" s="63" t="e">
        <f ca="1">SQRT(22.5*(BO195/VLOOKUP(BP195,Fundamentus!A:U,3,FALSE))*(BO195/VLOOKUP(BP195,Fundamentus!A:U,4,FALSE)))</f>
        <v>#NUM!</v>
      </c>
      <c r="CB195" s="62">
        <f t="shared" ca="1" si="168"/>
        <v>0</v>
      </c>
      <c r="CC195" s="8"/>
      <c r="CD195" s="61">
        <f t="shared" si="169"/>
        <v>1.1599999999999999</v>
      </c>
      <c r="CE195" s="61">
        <f t="shared" si="170"/>
        <v>1.79</v>
      </c>
      <c r="CF195" s="61">
        <f t="shared" si="171"/>
        <v>1.3760606060606062</v>
      </c>
      <c r="CG195" s="14"/>
      <c r="CH195" s="35">
        <f t="shared" si="154"/>
        <v>1.1225038463814572</v>
      </c>
      <c r="CI195" s="15">
        <f t="shared" si="172"/>
        <v>1.1550000000000011</v>
      </c>
      <c r="CJ195" s="35">
        <f t="shared" si="155"/>
        <v>1.1874961536185451</v>
      </c>
      <c r="CL195" s="14"/>
      <c r="CM195" s="17">
        <f t="shared" si="156"/>
        <v>0.32666666666666644</v>
      </c>
      <c r="CN195" s="17">
        <f t="shared" si="157"/>
        <v>0.74333333333333318</v>
      </c>
      <c r="CO195" s="17">
        <f t="shared" si="158"/>
        <v>0.95666666666666655</v>
      </c>
      <c r="CP195" s="38">
        <f t="shared" si="173"/>
        <v>1.3733333333333333</v>
      </c>
      <c r="CQ195" s="17">
        <f t="shared" si="159"/>
        <v>1.5866666666666667</v>
      </c>
      <c r="CR195" s="17">
        <f t="shared" si="160"/>
        <v>2.0033333333333334</v>
      </c>
      <c r="CS195" s="17">
        <f t="shared" si="161"/>
        <v>2.2166666666666668</v>
      </c>
      <c r="CT195" s="2" cm="1">
        <f t="array" aca="1" ref="CT195" ca="1">MAX(_xlfn._xlws.FILTER(CM195:CS195,CM195:CS195&lt;BO195))</f>
        <v>0.95666666666666655</v>
      </c>
      <c r="CU195" s="2" cm="1">
        <f t="array" aca="1" ref="CU195" ca="1">MIN(_xlfn._xlws.FILTER($CM195:$CS195,$CM195:$CS195&gt;BO195))</f>
        <v>1.3733333333333333</v>
      </c>
      <c r="CV195" s="16">
        <f t="shared" ca="1" si="209"/>
        <v>0.43554006968641135</v>
      </c>
      <c r="CW195" s="20">
        <f t="shared" ca="1" si="210"/>
        <v>-0.21777003484320567</v>
      </c>
      <c r="CX195" s="20">
        <f t="shared" ca="1" si="211"/>
        <v>-0.14518002322880377</v>
      </c>
      <c r="CY195" s="20">
        <f t="shared" ca="1" si="212"/>
        <v>-8.7108013937282264E-2</v>
      </c>
      <c r="CZ195" s="20">
        <f t="shared" ca="1" si="213"/>
        <v>-4.8393341076267929E-2</v>
      </c>
      <c r="DA195" s="20">
        <f t="shared" ca="1" si="214"/>
        <v>-2.5620004099200667E-2</v>
      </c>
      <c r="DB195" s="20">
        <f t="shared" ca="1" si="215"/>
        <v>-1.3198183929891253E-2</v>
      </c>
      <c r="DC195" s="20">
        <f t="shared" ca="1" si="216"/>
        <v>-6.7006164567140203E-3</v>
      </c>
      <c r="DD195" s="21">
        <f t="shared" ca="1" si="217"/>
        <v>6.7006164567140203E-3</v>
      </c>
      <c r="DE195" s="21">
        <f t="shared" ca="1" si="218"/>
        <v>1.3198183929891253E-2</v>
      </c>
      <c r="DF195" s="21">
        <f t="shared" ca="1" si="219"/>
        <v>2.5620004099200667E-2</v>
      </c>
      <c r="DG195" s="21">
        <f t="shared" ca="1" si="220"/>
        <v>4.8393341076267929E-2</v>
      </c>
      <c r="DH195" s="21">
        <f t="shared" ca="1" si="221"/>
        <v>8.7108013937282264E-2</v>
      </c>
      <c r="DI195" s="21">
        <f t="shared" ca="1" si="222"/>
        <v>0.14518002322880377</v>
      </c>
      <c r="DJ195" s="21">
        <f t="shared" ca="1" si="223"/>
        <v>0.21777003484320567</v>
      </c>
      <c r="DL195" s="16" cm="1">
        <f t="array" aca="1" ref="DL195" ca="1">MAX(_xlfn._xlws.FILTER(CW195:DJ195,CW195:DJ195&lt;BU195))</f>
        <v>6.7006164567140203E-3</v>
      </c>
      <c r="DM195" s="16" cm="1">
        <f t="array" aca="1" ref="DM195" ca="1">MIN(_xlfn._xlws.FILTER(CW195:DJ195,CW195:DJ195&gt;BU195))</f>
        <v>1.3198183929891253E-2</v>
      </c>
      <c r="DN195" s="2" cm="1">
        <f t="array" aca="1" ref="DN195" ca="1">_FV(EC195,"Fechamento anterior",TRUE)</f>
        <v>1.1599999999999999</v>
      </c>
      <c r="DO195" s="28">
        <f t="shared" ca="1" si="162"/>
        <v>0.29550646551724796</v>
      </c>
      <c r="DP195" s="15">
        <f t="shared" ca="1" si="224"/>
        <v>1.1677727150897881</v>
      </c>
      <c r="DQ195" s="15">
        <f t="shared" ca="1" si="225"/>
        <v>1.1753098933586739</v>
      </c>
      <c r="DR195" s="9"/>
      <c r="DS195" s="9"/>
      <c r="DT195" s="9"/>
      <c r="DU195" s="89">
        <v>1.260906276386152E-2</v>
      </c>
      <c r="DV195" s="89">
        <f t="shared" ca="1" si="163"/>
        <v>6.4975674731772327E-3</v>
      </c>
      <c r="DW195" s="72">
        <f t="shared" ca="1" si="164"/>
        <v>0.46159309117245884</v>
      </c>
      <c r="DX195" s="37"/>
      <c r="DY195" s="35">
        <f t="shared" si="174"/>
        <v>1.6248076809271934E-2</v>
      </c>
      <c r="DZ195" s="56"/>
      <c r="EA195" s="56"/>
      <c r="EC195" s="2" t="e" vm="197">
        <v>#VALUE!</v>
      </c>
      <c r="EE195" s="10" cm="1">
        <f t="array" aca="1" ref="EE195" ca="1">_FV(EC195,"Ações em circulação",TRUE)</f>
        <v>43716190</v>
      </c>
      <c r="EF195" s="18">
        <f>VLOOKUP(BP195,Fundamentus!A:U,5,FALSE)</f>
        <v>0.48</v>
      </c>
      <c r="EG195" s="2">
        <f t="shared" ca="1" si="165"/>
        <v>106558213.125</v>
      </c>
      <c r="EH195" s="17">
        <v>-35760936.324749999</v>
      </c>
      <c r="EI195" s="17">
        <f t="shared" ca="1" si="166"/>
        <v>-35760936.324749999</v>
      </c>
      <c r="EK195" s="16">
        <f t="shared" ref="EK195:EK258" ca="1" si="226">(EI195/EH195)-1</f>
        <v>0</v>
      </c>
      <c r="EL195" s="32" t="str">
        <f>IF(VLOOKUP(BP195,Fundamentus!A:U,3,FALSE)&lt;15,"Bom",IF(VLOOKUP(BP195,Fundamentus!A:U,3,FALSE)&gt;15,"Ruim","n/a"))</f>
        <v>Bom</v>
      </c>
      <c r="EM195" s="28" t="str">
        <f>IF(VLOOKUP(BP195,Fundamentus!A:U,4,FALSE)&lt;1,"Baixo",IF(VLOOKUP(BP195,Fundamentus!A:U,4,FALSE)&lt;1.5,"Moderado",IF(VLOOKUP(BP195,Fundamentus!A:U,4,FALSE)&gt;1.5,"Alto","n/a")))</f>
        <v>Baixo</v>
      </c>
      <c r="EN195" s="17" t="str">
        <f>IF(VLOOKUP(BP195,Fundamentus!A:U,8,FALSE)&lt;0,"Risco elevado",IF(VLOOKUP(BP195,Fundamentus!A:U,8,FALSE)&lt;1,"Saudável",IF(VLOOKUP(BP195,Fundamentus!A:U,8,FALSE)&lt;3,"Estável",IF(VLOOKUP(BP195,Fundamentus!A:U,8,FALSE)&gt;3,"Alerta","n/a"))))</f>
        <v>Alerta</v>
      </c>
      <c r="EO195" s="28" t="str">
        <f t="shared" si="167"/>
        <v>Ruim</v>
      </c>
      <c r="EP195" s="17" t="str">
        <f>IF(VLOOKUP(BP195,Fundamentus!A:U,12,FALSE)&lt;2,"Subvalorizada",IF(VLOOKUP(BP195,Fundamentus!A:U,12,FALSE)&lt;6,"Muita barata",IF(VLOOKUP(BP195,Fundamentus!A:U,12,FALSE)&lt;6,"Barata",IF(VLOOKUP(BP195,Fundamentus!A:U,12,FALSE)&lt;8,"Atrativa",IF(VLOOKUP(BP195,Fundamentus!A:U,12,FALSE)&gt;8,"Supervalorizada","n/a")))))</f>
        <v>Subvalorizada</v>
      </c>
      <c r="ER195" s="17" t="str">
        <f>IF(VLOOKUP(BP195,Fundamentus!A:U,17,FALSE)&lt;0.1,"Fraco retorno",IF(VLOOKUP(BP195,Fundamentus!A:U,17,FALSE)&gt;0.1,"Bom retorno","n/a"))</f>
        <v>Fraco retorno</v>
      </c>
      <c r="ES195" s="17" t="str">
        <f>IF(VLOOKUP(BP195,Fundamentus!A:U,16,FALSE)&lt;0.1,"Ineficiente",IF(VLOOKUP(BP195,Fundamentus!A:U,16,FALSE)&gt;0.1,"Eficiente","n/a"))</f>
        <v>Ineficiente</v>
      </c>
      <c r="ET195" s="33" t="str">
        <f>IF(VLOOKUP(BP195,Fundamentus!A:U,16,FALSE)&lt;0.1,"Oper. Ineficiente",IF(VLOOKUP(BP195,Fundamentus!A:U,16,FALSE)&gt;0.1,"Oper.Eficiente","n/a"))</f>
        <v>Oper. Ineficiente</v>
      </c>
      <c r="EU195" s="34">
        <f>VLOOKUP(BP195,Fundamentus!A:U,14,FALSE)</f>
        <v>-0.33560000000000001</v>
      </c>
      <c r="EV195" s="17" t="str">
        <f>IF(VLOOKUP(BP195,Fundamentus!A:U,21,FALSE)&lt;0,"Negativo",IF(VLOOKUP(BP195,Fundamentus!A:U,21,FALSE)&lt;0.05,"Fraco",IF(VLOOKUP(BP195,Fundamentus!A:U,21,FALSE)&lt;0.1,"Bom",IF(VLOOKUP(BP195,Fundamentus!A:U,21,FALSE)&gt;0.1,"Muito bom","n/a"))))</f>
        <v>Muito bom</v>
      </c>
      <c r="EX195" s="29" t="str">
        <f>IF(VLOOKUP(BP195,Fundamentus!A:U,15,FALSE)&gt;1,"Bom",IF(VLOOKUP(BP195,Fundamentus!A:U,15,FALSE)&lt;1,"Ruim","n/a"))</f>
        <v>Bom</v>
      </c>
      <c r="EY195" s="17" t="str">
        <f>IF(VLOOKUP(BP195,Fundamentus!A:U,20,FALSE)&lt;0.5,"Baixa",IF(VLOOKUP(BP195,Fundamentus!A:U,20,FALSE)&lt;1,"Moderada",IF(VLOOKUP(BP195,Fundamentus!A:U,20,FALSE)&lt;2,"Alerta",IF(VLOOKUP(BP195,Fundamentus!A:U,20,FALSE)&gt;2,"Alta","n/a"))))</f>
        <v>Alerta</v>
      </c>
      <c r="EZ195" s="10"/>
    </row>
    <row r="196" spans="1:156" s="2" customFormat="1" ht="11.25" x14ac:dyDescent="0.2">
      <c r="A196" s="4">
        <v>7.42</v>
      </c>
      <c r="B196" s="4">
        <v>7.15</v>
      </c>
      <c r="C196" s="4">
        <v>7.31</v>
      </c>
      <c r="D196" s="4">
        <v>7.09</v>
      </c>
      <c r="E196" s="4">
        <v>6.88</v>
      </c>
      <c r="F196" s="4">
        <v>6.63</v>
      </c>
      <c r="G196" s="4">
        <v>6.27</v>
      </c>
      <c r="H196" s="4">
        <v>6.27</v>
      </c>
      <c r="I196" s="4">
        <v>6.65</v>
      </c>
      <c r="J196" s="4">
        <v>7.25</v>
      </c>
      <c r="K196" s="4">
        <v>7.44</v>
      </c>
      <c r="L196" s="4">
        <v>7.1</v>
      </c>
      <c r="M196" s="4">
        <v>7.07</v>
      </c>
      <c r="N196" s="4">
        <v>7.68</v>
      </c>
      <c r="O196" s="4">
        <v>7.85</v>
      </c>
      <c r="P196" s="4">
        <v>7.82</v>
      </c>
      <c r="Q196" s="4">
        <v>7.7</v>
      </c>
      <c r="R196" s="4">
        <v>7.83</v>
      </c>
      <c r="S196" s="4">
        <v>7.69</v>
      </c>
      <c r="T196" s="4">
        <v>7.99</v>
      </c>
      <c r="U196" s="4">
        <v>7.35</v>
      </c>
      <c r="V196" s="4">
        <v>7.14</v>
      </c>
      <c r="W196" s="4">
        <v>6.81</v>
      </c>
      <c r="X196" s="4">
        <v>7.12</v>
      </c>
      <c r="Y196" s="4">
        <v>7.01</v>
      </c>
      <c r="Z196" s="4">
        <v>6.89</v>
      </c>
      <c r="AA196" s="4">
        <v>6.71</v>
      </c>
      <c r="AB196" s="4">
        <v>6.73</v>
      </c>
      <c r="AC196" s="4">
        <v>6.72</v>
      </c>
      <c r="AD196" s="4">
        <v>6.91</v>
      </c>
      <c r="AE196" s="4">
        <v>5.5</v>
      </c>
      <c r="AF196" s="4">
        <v>5.08</v>
      </c>
      <c r="AG196" s="4">
        <v>4.5199999999999996</v>
      </c>
      <c r="AH196" s="4">
        <v>4.28</v>
      </c>
      <c r="AI196" s="4">
        <v>4.29</v>
      </c>
      <c r="AJ196" s="4">
        <v>4.07</v>
      </c>
      <c r="AK196" s="4">
        <v>4.55</v>
      </c>
      <c r="AL196" s="4">
        <v>4.6500000000000004</v>
      </c>
      <c r="AM196" s="4">
        <v>4.8499999999999996</v>
      </c>
      <c r="AN196" s="4">
        <v>5.2</v>
      </c>
      <c r="AO196" s="4">
        <v>4.83</v>
      </c>
      <c r="AP196" s="4">
        <v>5.31</v>
      </c>
      <c r="AQ196" s="4">
        <v>5.25</v>
      </c>
      <c r="AR196" s="4">
        <v>4.93</v>
      </c>
      <c r="AS196" s="4">
        <v>5.41</v>
      </c>
      <c r="AT196" s="4">
        <v>5.55</v>
      </c>
      <c r="AU196" s="4">
        <v>5.4550000000000001</v>
      </c>
      <c r="AV196" s="4">
        <v>5.33</v>
      </c>
      <c r="AW196" s="4">
        <v>5.75</v>
      </c>
      <c r="AX196" s="4">
        <v>6.07</v>
      </c>
      <c r="AY196" s="12">
        <v>6.19</v>
      </c>
      <c r="AZ196" s="12">
        <v>6.9</v>
      </c>
      <c r="BA196" s="12">
        <v>6.61</v>
      </c>
      <c r="BB196" s="15">
        <v>7.14</v>
      </c>
      <c r="BC196" s="52">
        <v>6.54</v>
      </c>
      <c r="BD196" s="52">
        <v>6.44</v>
      </c>
      <c r="BE196" s="52">
        <v>6.75</v>
      </c>
      <c r="BF196" s="52">
        <v>6.99</v>
      </c>
      <c r="BG196" s="67">
        <v>7.19</v>
      </c>
      <c r="BH196" s="52">
        <v>7.49</v>
      </c>
      <c r="BI196" s="52">
        <v>7.37</v>
      </c>
      <c r="BJ196" s="52">
        <v>7.37</v>
      </c>
      <c r="BK196" s="52">
        <v>6.91</v>
      </c>
      <c r="BL196" s="52">
        <v>6.79</v>
      </c>
      <c r="BM196" s="52">
        <v>6.75</v>
      </c>
      <c r="BN196" s="52">
        <v>6.74</v>
      </c>
      <c r="BO196" s="52" cm="1">
        <f t="array" aca="1" ref="BO196" ca="1">_FV(EC196,"Preço")</f>
        <v>6.74</v>
      </c>
      <c r="BP196" s="69" t="s">
        <v>192</v>
      </c>
      <c r="BQ196" s="36" cm="1">
        <f t="array" aca="1" ref="BQ196" ca="1">_FV(EC196,"Média de volume",TRUE)</f>
        <v>3017210</v>
      </c>
      <c r="BR196" s="36">
        <v>3645200</v>
      </c>
      <c r="BS196" s="36" cm="1">
        <f t="array" aca="1" ref="BS196" ca="1">_FV(EC196,"Volume")</f>
        <v>3645200</v>
      </c>
      <c r="BT196" s="24" cm="1">
        <f t="array" aca="1" ref="BT196" ca="1">_FV(EC196,"Beta")</f>
        <v>1.6108</v>
      </c>
      <c r="BU196" s="71" cm="1">
        <f t="array" aca="1" ref="BU196" ca="1">_FV(EC196,"Variação (%)",TRUE)</f>
        <v>0</v>
      </c>
      <c r="BW196" s="17" cm="1">
        <f t="array" aca="1" ref="BW196" ca="1">_FV(EC196,"Baixo")</f>
        <v>6.71</v>
      </c>
      <c r="BX196" s="17" cm="1">
        <f t="array" aca="1" ref="BX196" ca="1">_FV(EC196,"Alto")</f>
        <v>7.04</v>
      </c>
      <c r="BY196" s="24"/>
      <c r="BZ196" s="63">
        <f ca="1">SQRT(22.5*(BO196/VLOOKUP(BP196,Fundamentus!A:U,3,FALSE))*(BO196/VLOOKUP(BP196,Fundamentus!A:U,4,FALSE)))</f>
        <v>11.594524651486987</v>
      </c>
      <c r="CB196" s="62">
        <f t="shared" ca="1" si="168"/>
        <v>0</v>
      </c>
      <c r="CC196" s="8"/>
      <c r="CD196" s="61">
        <f t="shared" si="169"/>
        <v>4.07</v>
      </c>
      <c r="CE196" s="61">
        <f t="shared" si="170"/>
        <v>7.99</v>
      </c>
      <c r="CF196" s="61">
        <f t="shared" si="171"/>
        <v>6.4473484848484857</v>
      </c>
      <c r="CG196" s="14"/>
      <c r="CH196" s="35">
        <f t="shared" si="154"/>
        <v>6.186308117021226</v>
      </c>
      <c r="CI196" s="15">
        <f t="shared" si="172"/>
        <v>6.660000000000025</v>
      </c>
      <c r="CJ196" s="35">
        <f t="shared" si="155"/>
        <v>7.1336918829788241</v>
      </c>
      <c r="CL196" s="14"/>
      <c r="CM196" s="17">
        <f t="shared" si="156"/>
        <v>0.62333333333333307</v>
      </c>
      <c r="CN196" s="17">
        <f t="shared" si="157"/>
        <v>2.3466666666666667</v>
      </c>
      <c r="CO196" s="17">
        <f t="shared" si="158"/>
        <v>4.543333333333333</v>
      </c>
      <c r="CP196" s="38">
        <f t="shared" si="173"/>
        <v>6.2666666666666666</v>
      </c>
      <c r="CQ196" s="17">
        <f t="shared" si="159"/>
        <v>8.4633333333333329</v>
      </c>
      <c r="CR196" s="17">
        <f t="shared" si="160"/>
        <v>10.186666666666667</v>
      </c>
      <c r="CS196" s="17">
        <f t="shared" si="161"/>
        <v>12.383333333333333</v>
      </c>
      <c r="CT196" s="2" cm="1">
        <f t="array" aca="1" ref="CT196" ca="1">MAX(_xlfn._xlws.FILTER(CM196:CS196,CM196:CS196&lt;BO196))</f>
        <v>6.2666666666666666</v>
      </c>
      <c r="CU196" s="2" cm="1">
        <f t="array" aca="1" ref="CU196" ca="1">MIN(_xlfn._xlws.FILTER($CM196:$CS196,$CM196:$CS196&gt;BO196))</f>
        <v>8.4633333333333329</v>
      </c>
      <c r="CV196" s="16">
        <f t="shared" ca="1" si="209"/>
        <v>0.35053191489361701</v>
      </c>
      <c r="CW196" s="20">
        <f t="shared" ca="1" si="210"/>
        <v>-0.17526595744680851</v>
      </c>
      <c r="CX196" s="20">
        <f t="shared" ca="1" si="211"/>
        <v>-0.11684397163120568</v>
      </c>
      <c r="CY196" s="20">
        <f t="shared" ca="1" si="212"/>
        <v>-7.0106382978723403E-2</v>
      </c>
      <c r="CZ196" s="20">
        <f t="shared" ca="1" si="213"/>
        <v>-3.8947990543735225E-2</v>
      </c>
      <c r="DA196" s="20">
        <f t="shared" ca="1" si="214"/>
        <v>-2.0619524405506882E-2</v>
      </c>
      <c r="DB196" s="20">
        <f t="shared" ca="1" si="215"/>
        <v>-1.0622179239200516E-2</v>
      </c>
      <c r="DC196" s="20">
        <f t="shared" ca="1" si="216"/>
        <v>-5.3927986906710306E-3</v>
      </c>
      <c r="DD196" s="21">
        <f t="shared" ca="1" si="217"/>
        <v>5.3927986906710306E-3</v>
      </c>
      <c r="DE196" s="21">
        <f t="shared" ca="1" si="218"/>
        <v>1.0622179239200516E-2</v>
      </c>
      <c r="DF196" s="21">
        <f t="shared" ca="1" si="219"/>
        <v>2.0619524405506882E-2</v>
      </c>
      <c r="DG196" s="21">
        <f t="shared" ca="1" si="220"/>
        <v>3.8947990543735225E-2</v>
      </c>
      <c r="DH196" s="21">
        <f t="shared" ca="1" si="221"/>
        <v>7.0106382978723403E-2</v>
      </c>
      <c r="DI196" s="21">
        <f t="shared" ca="1" si="222"/>
        <v>0.11684397163120568</v>
      </c>
      <c r="DJ196" s="21">
        <f t="shared" ca="1" si="223"/>
        <v>0.17526595744680851</v>
      </c>
      <c r="DL196" s="16" cm="1">
        <f t="array" aca="1" ref="DL196" ca="1">MAX(_xlfn._xlws.FILTER(CW196:DJ196,CW196:DJ196&lt;BU196))</f>
        <v>-5.3927986906710306E-3</v>
      </c>
      <c r="DM196" s="16" cm="1">
        <f t="array" aca="1" ref="DM196" ca="1">MIN(_xlfn._xlws.FILTER(CW196:DJ196,CW196:DJ196&gt;BU196))</f>
        <v>5.3927986906710306E-3</v>
      </c>
      <c r="DN196" s="2" cm="1">
        <f t="array" aca="1" ref="DN196" ca="1">_FV(EC196,"Fechamento anterior",TRUE)</f>
        <v>6.74</v>
      </c>
      <c r="DO196" s="28">
        <f t="shared" ca="1" si="162"/>
        <v>0.5</v>
      </c>
      <c r="DP196" s="15">
        <f t="shared" ca="1" si="224"/>
        <v>6.7036525368248778</v>
      </c>
      <c r="DQ196" s="15">
        <f t="shared" ca="1" si="225"/>
        <v>6.7763474631751226</v>
      </c>
      <c r="DR196" s="9"/>
      <c r="DS196" s="9"/>
      <c r="DT196" s="9"/>
      <c r="DU196" s="89">
        <v>1.0046478200636413E-2</v>
      </c>
      <c r="DV196" s="89">
        <f t="shared" ca="1" si="163"/>
        <v>1.0785597381342061E-2</v>
      </c>
      <c r="DW196" s="72">
        <f t="shared" ca="1" si="164"/>
        <v>0.16888615337230878</v>
      </c>
      <c r="DX196" s="37"/>
      <c r="DY196" s="35">
        <f t="shared" si="174"/>
        <v>0.23684594148939941</v>
      </c>
      <c r="DZ196" s="56"/>
      <c r="EA196" s="56"/>
      <c r="EC196" s="2" t="e" vm="198">
        <v>#VALUE!</v>
      </c>
      <c r="EE196" s="10" cm="1">
        <f t="array" aca="1" ref="EE196" ca="1">_FV(EC196,"Ações em circulação",TRUE)</f>
        <v>696334200</v>
      </c>
      <c r="EF196" s="18">
        <f>VLOOKUP(BP196,Fundamentus!A:U,5,FALSE)</f>
        <v>0.46400000000000002</v>
      </c>
      <c r="EG196" s="2">
        <f t="shared" ca="1" si="165"/>
        <v>10114854543.103447</v>
      </c>
      <c r="EH196" s="17">
        <v>808176877.99396539</v>
      </c>
      <c r="EI196" s="17">
        <f t="shared" ca="1" si="166"/>
        <v>808176877.99396539</v>
      </c>
      <c r="EK196" s="16">
        <f t="shared" ca="1" si="226"/>
        <v>0</v>
      </c>
      <c r="EL196" s="32" t="str">
        <f>IF(VLOOKUP(BP196,Fundamentus!A:U,3,FALSE)&lt;15,"Bom",IF(VLOOKUP(BP196,Fundamentus!A:U,3,FALSE)&gt;15,"Ruim","n/a"))</f>
        <v>Bom</v>
      </c>
      <c r="EM196" s="28" t="str">
        <f>IF(VLOOKUP(BP196,Fundamentus!A:U,4,FALSE)&lt;1,"Baixo",IF(VLOOKUP(BP196,Fundamentus!A:U,4,FALSE)&lt;1.5,"Moderado",IF(VLOOKUP(BP196,Fundamentus!A:U,4,FALSE)&gt;1.5,"Alto","n/a")))</f>
        <v>Moderado</v>
      </c>
      <c r="EN196" s="17" t="str">
        <f>IF(VLOOKUP(BP196,Fundamentus!A:U,8,FALSE)&lt;0,"Risco elevado",IF(VLOOKUP(BP196,Fundamentus!A:U,8,FALSE)&lt;1,"Saudável",IF(VLOOKUP(BP196,Fundamentus!A:U,8,FALSE)&lt;3,"Estável",IF(VLOOKUP(BP196,Fundamentus!A:U,8,FALSE)&gt;3,"Alerta","n/a"))))</f>
        <v>Risco elevado</v>
      </c>
      <c r="EO196" s="28" t="str">
        <f t="shared" si="167"/>
        <v>Ruim</v>
      </c>
      <c r="EP196" s="17" t="str">
        <f>IF(VLOOKUP(BP196,Fundamentus!A:U,12,FALSE)&lt;2,"Subvalorizada",IF(VLOOKUP(BP196,Fundamentus!A:U,12,FALSE)&lt;6,"Muita barata",IF(VLOOKUP(BP196,Fundamentus!A:U,12,FALSE)&lt;6,"Barata",IF(VLOOKUP(BP196,Fundamentus!A:U,12,FALSE)&lt;8,"Atrativa",IF(VLOOKUP(BP196,Fundamentus!A:U,12,FALSE)&gt;8,"Supervalorizada","n/a")))))</f>
        <v>Muita barata</v>
      </c>
      <c r="ER196" s="17" t="str">
        <f>IF(VLOOKUP(BP196,Fundamentus!A:U,17,FALSE)&lt;0.1,"Fraco retorno",IF(VLOOKUP(BP196,Fundamentus!A:U,17,FALSE)&gt;0.1,"Bom retorno","n/a"))</f>
        <v>Bom retorno</v>
      </c>
      <c r="ES196" s="17" t="str">
        <f>IF(VLOOKUP(BP196,Fundamentus!A:U,16,FALSE)&lt;0.1,"Ineficiente",IF(VLOOKUP(BP196,Fundamentus!A:U,16,FALSE)&gt;0.1,"Eficiente","n/a"))</f>
        <v>Eficiente</v>
      </c>
      <c r="ET196" s="33" t="str">
        <f>IF(VLOOKUP(BP196,Fundamentus!A:U,16,FALSE)&lt;0.1,"Oper. Ineficiente",IF(VLOOKUP(BP196,Fundamentus!A:U,16,FALSE)&gt;0.1,"Oper.Eficiente","n/a"))</f>
        <v>Oper.Eficiente</v>
      </c>
      <c r="EU196" s="34">
        <f>VLOOKUP(BP196,Fundamentus!A:U,14,FALSE)</f>
        <v>7.9899999999999999E-2</v>
      </c>
      <c r="EV196" s="17" t="str">
        <f>IF(VLOOKUP(BP196,Fundamentus!A:U,21,FALSE)&lt;0,"Negativo",IF(VLOOKUP(BP196,Fundamentus!A:U,21,FALSE)&lt;0.05,"Fraco",IF(VLOOKUP(BP196,Fundamentus!A:U,21,FALSE)&lt;0.1,"Bom",IF(VLOOKUP(BP196,Fundamentus!A:U,21,FALSE)&gt;0.1,"Muito bom","n/a"))))</f>
        <v>Muito bom</v>
      </c>
      <c r="EX196" s="29" t="str">
        <f>IF(VLOOKUP(BP196,Fundamentus!A:U,15,FALSE)&gt;1,"Bom",IF(VLOOKUP(BP196,Fundamentus!A:U,15,FALSE)&lt;1,"Ruim","n/a"))</f>
        <v>Ruim</v>
      </c>
      <c r="EY196" s="17" t="str">
        <f>IF(VLOOKUP(BP196,Fundamentus!A:U,20,FALSE)&lt;0.5,"Baixa",IF(VLOOKUP(BP196,Fundamentus!A:U,20,FALSE)&lt;1,"Moderada",IF(VLOOKUP(BP196,Fundamentus!A:U,20,FALSE)&lt;2,"Alerta",IF(VLOOKUP(BP196,Fundamentus!A:U,20,FALSE)&gt;2,"Alta","n/a"))))</f>
        <v>Alta</v>
      </c>
      <c r="EZ196" s="10"/>
    </row>
    <row r="197" spans="1:156" s="2" customFormat="1" ht="11.25" x14ac:dyDescent="0.2">
      <c r="A197" s="4">
        <v>0.2</v>
      </c>
      <c r="B197" s="4">
        <v>0.23</v>
      </c>
      <c r="C197" s="4">
        <v>0.24</v>
      </c>
      <c r="D197" s="4">
        <v>0.26</v>
      </c>
      <c r="E197" s="4">
        <v>0.22</v>
      </c>
      <c r="F197" s="4">
        <v>0.19</v>
      </c>
      <c r="G197" s="4">
        <v>0.19</v>
      </c>
      <c r="H197" s="4">
        <v>0.18</v>
      </c>
      <c r="I197" s="4">
        <v>0.17</v>
      </c>
      <c r="J197" s="4">
        <v>0.18</v>
      </c>
      <c r="K197" s="4">
        <v>0.2</v>
      </c>
      <c r="L197" s="4">
        <v>0.18</v>
      </c>
      <c r="M197" s="4">
        <v>0.18</v>
      </c>
      <c r="N197" s="4">
        <v>0.18</v>
      </c>
      <c r="O197" s="4">
        <v>0.19</v>
      </c>
      <c r="P197" s="4">
        <v>0.18</v>
      </c>
      <c r="Q197" s="4">
        <v>0.16</v>
      </c>
      <c r="R197" s="4">
        <v>0.16</v>
      </c>
      <c r="S197" s="4">
        <v>0.16</v>
      </c>
      <c r="T197" s="4">
        <v>0.16</v>
      </c>
      <c r="U197" s="4">
        <v>0.15</v>
      </c>
      <c r="V197" s="4">
        <v>0.01</v>
      </c>
      <c r="W197" s="4">
        <v>0.01</v>
      </c>
      <c r="X197" s="4">
        <v>0.01</v>
      </c>
      <c r="Y197" s="4">
        <v>0.01</v>
      </c>
      <c r="Z197" s="4">
        <v>0.01</v>
      </c>
      <c r="AA197" s="4">
        <v>0.01</v>
      </c>
      <c r="AB197" s="4">
        <v>0.01</v>
      </c>
      <c r="AC197" s="4">
        <v>0.01</v>
      </c>
      <c r="AD197" s="4">
        <v>0.01</v>
      </c>
      <c r="AE197" s="4">
        <v>0.01</v>
      </c>
      <c r="AF197" s="4">
        <v>0.01</v>
      </c>
      <c r="AG197" s="4">
        <v>0.01</v>
      </c>
      <c r="AH197" s="4">
        <v>0.01</v>
      </c>
      <c r="AI197" s="4">
        <v>0.01</v>
      </c>
      <c r="AJ197" s="4">
        <v>0.01</v>
      </c>
      <c r="AK197" s="4">
        <v>0.01</v>
      </c>
      <c r="AL197" s="4">
        <v>0.01</v>
      </c>
      <c r="AM197" s="4">
        <v>0.01</v>
      </c>
      <c r="AN197" s="4">
        <v>0.01</v>
      </c>
      <c r="AO197" s="4">
        <v>0.01</v>
      </c>
      <c r="AP197" s="4">
        <v>0.01</v>
      </c>
      <c r="AQ197" s="4">
        <v>0.01</v>
      </c>
      <c r="AR197" s="4">
        <v>0.71</v>
      </c>
      <c r="AS197" s="4">
        <v>1.05</v>
      </c>
      <c r="AT197" s="4">
        <v>0.85</v>
      </c>
      <c r="AU197" s="4">
        <v>0.81499999999999995</v>
      </c>
      <c r="AV197" s="4">
        <v>0.75</v>
      </c>
      <c r="AW197" s="4">
        <v>0.91</v>
      </c>
      <c r="AX197" s="4">
        <v>0.88</v>
      </c>
      <c r="AY197" s="12">
        <v>0.75</v>
      </c>
      <c r="AZ197" s="12">
        <v>0.69</v>
      </c>
      <c r="BA197" s="12">
        <v>0.67</v>
      </c>
      <c r="BB197" s="15">
        <v>0.66</v>
      </c>
      <c r="BC197" s="52">
        <v>0.56999999999999995</v>
      </c>
      <c r="BD197" s="52">
        <v>0.42</v>
      </c>
      <c r="BE197" s="52">
        <v>0.34</v>
      </c>
      <c r="BF197" s="52">
        <v>0.27</v>
      </c>
      <c r="BG197" s="67">
        <v>0.3</v>
      </c>
      <c r="BH197" s="52">
        <v>0.27</v>
      </c>
      <c r="BI197" s="52">
        <v>0.3</v>
      </c>
      <c r="BJ197" s="52">
        <v>0.25</v>
      </c>
      <c r="BK197" s="52">
        <v>0.24</v>
      </c>
      <c r="BL197" s="52">
        <v>0.22</v>
      </c>
      <c r="BM197" s="52">
        <v>0.22</v>
      </c>
      <c r="BN197" s="52">
        <v>0.22</v>
      </c>
      <c r="BO197" s="52" cm="1">
        <f t="array" aca="1" ref="BO197" ca="1">_FV(EC197,"Preço")</f>
        <v>0.22</v>
      </c>
      <c r="BP197" s="69" t="s">
        <v>193</v>
      </c>
      <c r="BQ197" s="36" cm="1">
        <f t="array" aca="1" ref="BQ197" ca="1">_FV(EC197,"Média de volume",TRUE)</f>
        <v>366650</v>
      </c>
      <c r="BR197" s="36">
        <v>338200</v>
      </c>
      <c r="BS197" s="36" cm="1">
        <f t="array" aca="1" ref="BS197" ca="1">_FV(EC197,"Volume")</f>
        <v>338200</v>
      </c>
      <c r="BT197" s="24" cm="1">
        <f t="array" aca="1" ref="BT197" ca="1">_FV(EC197,"Beta")</f>
        <v>1.7654000000000001</v>
      </c>
      <c r="BU197" s="71" cm="1">
        <f t="array" aca="1" ref="BU197" ca="1">_FV(EC197,"Variação (%)",TRUE)</f>
        <v>4.7618999999999995E-2</v>
      </c>
      <c r="BW197" s="17" cm="1">
        <f t="array" aca="1" ref="BW197" ca="1">_FV(EC197,"Baixo")</f>
        <v>0.2</v>
      </c>
      <c r="BX197" s="17" cm="1">
        <f t="array" aca="1" ref="BX197" ca="1">_FV(EC197,"Alto")</f>
        <v>0.22</v>
      </c>
      <c r="BY197" s="24"/>
      <c r="BZ197" s="63" t="e">
        <f ca="1">SQRT(22.5*(BO197/VLOOKUP(BP197,Fundamentus!A:U,3,FALSE))*(BO197/VLOOKUP(BP197,Fundamentus!A:U,4,FALSE)))</f>
        <v>#DIV/0!</v>
      </c>
      <c r="CB197" s="62">
        <f t="shared" ca="1" si="168"/>
        <v>0</v>
      </c>
      <c r="CC197" s="8"/>
      <c r="CD197" s="61">
        <f t="shared" si="169"/>
        <v>0.01</v>
      </c>
      <c r="CE197" s="61">
        <f t="shared" si="170"/>
        <v>1.05</v>
      </c>
      <c r="CF197" s="61">
        <f t="shared" si="171"/>
        <v>0.25053030303030299</v>
      </c>
      <c r="CG197" s="14"/>
      <c r="CH197" s="35">
        <f t="shared" si="154"/>
        <v>0.18470177871865381</v>
      </c>
      <c r="CI197" s="15">
        <f t="shared" si="172"/>
        <v>0.21000000000000085</v>
      </c>
      <c r="CJ197" s="35">
        <f t="shared" si="155"/>
        <v>0.23529822128134789</v>
      </c>
      <c r="CL197" s="14"/>
      <c r="CM197" s="17">
        <f t="shared" si="156"/>
        <v>-1.2366666666666666</v>
      </c>
      <c r="CN197" s="17">
        <f t="shared" si="157"/>
        <v>-0.61333333333333329</v>
      </c>
      <c r="CO197" s="17">
        <f t="shared" si="158"/>
        <v>-0.19666666666666666</v>
      </c>
      <c r="CP197" s="38">
        <f t="shared" si="173"/>
        <v>0.42666666666666669</v>
      </c>
      <c r="CQ197" s="17">
        <f t="shared" si="159"/>
        <v>0.84333333333333338</v>
      </c>
      <c r="CR197" s="17">
        <f t="shared" si="160"/>
        <v>1.4666666666666668</v>
      </c>
      <c r="CS197" s="17">
        <f t="shared" si="161"/>
        <v>1.8833333333333333</v>
      </c>
      <c r="CT197" s="2" cm="1">
        <f t="array" aca="1" ref="CT197" ca="1">MAX(_xlfn._xlws.FILTER(CM197:CS197,CM197:CS197&lt;BO197))</f>
        <v>-0.19666666666666666</v>
      </c>
      <c r="CU197" s="2" cm="1">
        <f t="array" aca="1" ref="CU197" ca="1">MIN(_xlfn._xlws.FILTER($CM197:$CS197,$CM197:$CS197&gt;BO197))</f>
        <v>0.42666666666666669</v>
      </c>
      <c r="CV197" s="16">
        <f t="shared" ca="1" si="209"/>
        <v>-3.1694915254237293</v>
      </c>
      <c r="CW197" s="20">
        <f t="shared" ca="1" si="210"/>
        <v>1.5847457627118646</v>
      </c>
      <c r="CX197" s="20">
        <f t="shared" ca="1" si="211"/>
        <v>1.0564971751412431</v>
      </c>
      <c r="CY197" s="20">
        <f t="shared" ca="1" si="212"/>
        <v>0.63389830508474587</v>
      </c>
      <c r="CZ197" s="20">
        <f t="shared" ca="1" si="213"/>
        <v>0.35216572504708105</v>
      </c>
      <c r="DA197" s="20">
        <f t="shared" ca="1" si="214"/>
        <v>0.18644067796610173</v>
      </c>
      <c r="DB197" s="20">
        <f t="shared" ca="1" si="215"/>
        <v>9.6045197740113011E-2</v>
      </c>
      <c r="DC197" s="20">
        <f t="shared" ca="1" si="216"/>
        <v>4.8761408083441989E-2</v>
      </c>
      <c r="DD197" s="21">
        <f t="shared" ca="1" si="217"/>
        <v>-4.8761408083441989E-2</v>
      </c>
      <c r="DE197" s="21">
        <f t="shared" ca="1" si="218"/>
        <v>-9.6045197740113011E-2</v>
      </c>
      <c r="DF197" s="21">
        <f t="shared" ca="1" si="219"/>
        <v>-0.18644067796610173</v>
      </c>
      <c r="DG197" s="21">
        <f t="shared" ca="1" si="220"/>
        <v>-0.35216572504708105</v>
      </c>
      <c r="DH197" s="21">
        <f t="shared" ca="1" si="221"/>
        <v>-0.63389830508474587</v>
      </c>
      <c r="DI197" s="21">
        <f t="shared" ca="1" si="222"/>
        <v>-1.0564971751412431</v>
      </c>
      <c r="DJ197" s="21">
        <f t="shared" ca="1" si="223"/>
        <v>-1.5847457627118646</v>
      </c>
      <c r="DL197" s="16" cm="1">
        <f t="array" aca="1" ref="DL197" ca="1">MAX(_xlfn._xlws.FILTER(CW197:DJ197,CW197:DJ197&lt;BU197))</f>
        <v>-4.8761408083441989E-2</v>
      </c>
      <c r="DM197" s="16" cm="1">
        <f t="array" aca="1" ref="DM197" ca="1">MIN(_xlfn._xlws.FILTER(CW197:DJ197,CW197:DJ197&gt;BU197))</f>
        <v>4.8761408083441989E-2</v>
      </c>
      <c r="DN197" s="2" cm="1">
        <f t="array" aca="1" ref="DN197" ca="1">_FV(EC197,"Fechamento anterior",TRUE)</f>
        <v>0.21</v>
      </c>
      <c r="DO197" s="28">
        <f t="shared" ca="1" si="162"/>
        <v>0.98828622358034168</v>
      </c>
      <c r="DP197" s="15">
        <f t="shared" ca="1" si="224"/>
        <v>0.19976010430247718</v>
      </c>
      <c r="DQ197" s="15">
        <f t="shared" ca="1" si="225"/>
        <v>0.22023989569752281</v>
      </c>
      <c r="DR197" s="9"/>
      <c r="DS197" s="9"/>
      <c r="DT197" s="9"/>
      <c r="DU197" s="89">
        <v>9.7522816166883977E-2</v>
      </c>
      <c r="DV197" s="89">
        <f t="shared" ca="1" si="163"/>
        <v>9.7522816166883977E-2</v>
      </c>
      <c r="DW197" s="72">
        <f t="shared" ca="1" si="164"/>
        <v>0.39528470752101369</v>
      </c>
      <c r="DX197" s="37"/>
      <c r="DY197" s="35">
        <f t="shared" si="174"/>
        <v>1.2649110640673514E-2</v>
      </c>
      <c r="DZ197" s="56"/>
      <c r="EA197" s="56"/>
      <c r="EC197" s="2" t="e" vm="199">
        <v>#VALUE!</v>
      </c>
      <c r="EE197" s="10" cm="1">
        <f t="array" aca="1" ref="EE197" ca="1">_FV(EC197,"Ações em circulação",TRUE)</f>
        <v>29691030</v>
      </c>
      <c r="EF197" s="18">
        <f>VLOOKUP(BP197,Fundamentus!A:U,5,FALSE)</f>
        <v>4.7E-2</v>
      </c>
      <c r="EG197" s="2">
        <f t="shared" ca="1" si="165"/>
        <v>138979289.36170211</v>
      </c>
      <c r="EH197" s="17">
        <v>-467012106.04212761</v>
      </c>
      <c r="EI197" s="17">
        <f t="shared" ca="1" si="166"/>
        <v>-467012106.04212761</v>
      </c>
      <c r="EK197" s="16">
        <f t="shared" ca="1" si="226"/>
        <v>0</v>
      </c>
      <c r="EL197" s="32" t="str">
        <f>IF(VLOOKUP(BP197,Fundamentus!A:U,3,FALSE)&lt;15,"Bom",IF(VLOOKUP(BP197,Fundamentus!A:U,3,FALSE)&gt;15,"Ruim","n/a"))</f>
        <v>Bom</v>
      </c>
      <c r="EM197" s="28" t="str">
        <f>IF(VLOOKUP(BP197,Fundamentus!A:U,4,FALSE)&lt;1,"Baixo",IF(VLOOKUP(BP197,Fundamentus!A:U,4,FALSE)&lt;1.5,"Moderado",IF(VLOOKUP(BP197,Fundamentus!A:U,4,FALSE)&gt;1.5,"Alto","n/a")))</f>
        <v>Baixo</v>
      </c>
      <c r="EN197" s="17" t="str">
        <f>IF(VLOOKUP(BP197,Fundamentus!A:U,8,FALSE)&lt;0,"Risco elevado",IF(VLOOKUP(BP197,Fundamentus!A:U,8,FALSE)&lt;1,"Saudável",IF(VLOOKUP(BP197,Fundamentus!A:U,8,FALSE)&lt;3,"Estável",IF(VLOOKUP(BP197,Fundamentus!A:U,8,FALSE)&gt;3,"Alerta","n/a"))))</f>
        <v>Risco elevado</v>
      </c>
      <c r="EO197" s="28" t="str">
        <f t="shared" si="167"/>
        <v>Ruim</v>
      </c>
      <c r="EP197" s="17" t="str">
        <f>IF(VLOOKUP(BP197,Fundamentus!A:U,12,FALSE)&lt;2,"Subvalorizada",IF(VLOOKUP(BP197,Fundamentus!A:U,12,FALSE)&lt;6,"Muita barata",IF(VLOOKUP(BP197,Fundamentus!A:U,12,FALSE)&lt;6,"Barata",IF(VLOOKUP(BP197,Fundamentus!A:U,12,FALSE)&lt;8,"Atrativa",IF(VLOOKUP(BP197,Fundamentus!A:U,12,FALSE)&gt;8,"Supervalorizada","n/a")))))</f>
        <v>Subvalorizada</v>
      </c>
      <c r="ER197" s="17" t="str">
        <f>IF(VLOOKUP(BP197,Fundamentus!A:U,17,FALSE)&lt;0.1,"Fraco retorno",IF(VLOOKUP(BP197,Fundamentus!A:U,17,FALSE)&gt;0.1,"Bom retorno","n/a"))</f>
        <v>Bom retorno</v>
      </c>
      <c r="ES197" s="17" t="str">
        <f>IF(VLOOKUP(BP197,Fundamentus!A:U,16,FALSE)&lt;0.1,"Ineficiente",IF(VLOOKUP(BP197,Fundamentus!A:U,16,FALSE)&gt;0.1,"Eficiente","n/a"))</f>
        <v>Ineficiente</v>
      </c>
      <c r="ET197" s="33" t="str">
        <f>IF(VLOOKUP(BP197,Fundamentus!A:U,16,FALSE)&lt;0.1,"Oper. Ineficiente",IF(VLOOKUP(BP197,Fundamentus!A:U,16,FALSE)&gt;0.1,"Oper.Eficiente","n/a"))</f>
        <v>Oper. Ineficiente</v>
      </c>
      <c r="EU197" s="34">
        <f>VLOOKUP(BP197,Fundamentus!A:U,14,FALSE)</f>
        <v>-3.3603000000000001</v>
      </c>
      <c r="EV197" s="17" t="str">
        <f>IF(VLOOKUP(BP197,Fundamentus!A:U,21,FALSE)&lt;0,"Negativo",IF(VLOOKUP(BP197,Fundamentus!A:U,21,FALSE)&lt;0.05,"Fraco",IF(VLOOKUP(BP197,Fundamentus!A:U,21,FALSE)&lt;0.1,"Bom",IF(VLOOKUP(BP197,Fundamentus!A:U,21,FALSE)&gt;0.1,"Muito bom","n/a"))))</f>
        <v>Negativo</v>
      </c>
      <c r="EX197" s="29" t="str">
        <f>IF(VLOOKUP(BP197,Fundamentus!A:U,15,FALSE)&gt;1,"Bom",IF(VLOOKUP(BP197,Fundamentus!A:U,15,FALSE)&lt;1,"Ruim","n/a"))</f>
        <v>Ruim</v>
      </c>
      <c r="EY197" s="17" t="str">
        <f>IF(VLOOKUP(BP197,Fundamentus!A:U,20,FALSE)&lt;0.5,"Baixa",IF(VLOOKUP(BP197,Fundamentus!A:U,20,FALSE)&lt;1,"Moderada",IF(VLOOKUP(BP197,Fundamentus!A:U,20,FALSE)&lt;2,"Alerta",IF(VLOOKUP(BP197,Fundamentus!A:U,20,FALSE)&gt;2,"Alta","n/a"))))</f>
        <v>Baixa</v>
      </c>
      <c r="EZ197" s="10"/>
    </row>
    <row r="198" spans="1:156" s="2" customFormat="1" ht="11.25" x14ac:dyDescent="0.2">
      <c r="A198" s="4">
        <v>35.51</v>
      </c>
      <c r="B198" s="4">
        <v>37.15</v>
      </c>
      <c r="C198" s="4">
        <v>33.97</v>
      </c>
      <c r="D198" s="4">
        <v>33.299999999999997</v>
      </c>
      <c r="E198" s="4">
        <v>32.1</v>
      </c>
      <c r="F198" s="4">
        <v>34</v>
      </c>
      <c r="G198" s="4">
        <v>30.74</v>
      </c>
      <c r="H198" s="4">
        <v>29.9</v>
      </c>
      <c r="I198" s="4">
        <v>30.6</v>
      </c>
      <c r="J198" s="4">
        <v>30</v>
      </c>
      <c r="K198" s="4">
        <v>30.75</v>
      </c>
      <c r="L198" s="4">
        <v>30.37</v>
      </c>
      <c r="M198" s="4">
        <v>30.4</v>
      </c>
      <c r="N198" s="4">
        <v>31.4</v>
      </c>
      <c r="O198" s="4">
        <v>31.9</v>
      </c>
      <c r="P198" s="4">
        <v>31.39</v>
      </c>
      <c r="Q198" s="4">
        <v>31.77</v>
      </c>
      <c r="R198" s="4">
        <v>32.299999999999997</v>
      </c>
      <c r="S198" s="4">
        <v>30.8</v>
      </c>
      <c r="T198" s="4">
        <v>29.45</v>
      </c>
      <c r="U198" s="4">
        <v>29.03</v>
      </c>
      <c r="V198" s="4">
        <v>28.25</v>
      </c>
      <c r="W198" s="4">
        <v>27.33</v>
      </c>
      <c r="X198" s="4">
        <v>26.45</v>
      </c>
      <c r="Y198" s="4">
        <v>26.99</v>
      </c>
      <c r="Z198" s="4">
        <v>27.65</v>
      </c>
      <c r="AA198" s="4">
        <v>26.2</v>
      </c>
      <c r="AB198" s="4">
        <v>27.06</v>
      </c>
      <c r="AC198" s="4">
        <v>26.55</v>
      </c>
      <c r="AD198" s="4">
        <v>25.7</v>
      </c>
      <c r="AE198" s="4">
        <v>25</v>
      </c>
      <c r="AF198" s="4">
        <v>23.77</v>
      </c>
      <c r="AG198" s="4">
        <v>24.11</v>
      </c>
      <c r="AH198" s="4">
        <v>23.91</v>
      </c>
      <c r="AI198" s="4">
        <v>24.46</v>
      </c>
      <c r="AJ198" s="4">
        <v>24.4</v>
      </c>
      <c r="AK198" s="4">
        <v>24.6</v>
      </c>
      <c r="AL198" s="4">
        <v>23.9</v>
      </c>
      <c r="AM198" s="4">
        <v>23.48</v>
      </c>
      <c r="AN198" s="4">
        <v>24.9</v>
      </c>
      <c r="AO198" s="4">
        <v>24.81</v>
      </c>
      <c r="AP198" s="4">
        <v>25.29</v>
      </c>
      <c r="AQ198" s="4">
        <v>25.71</v>
      </c>
      <c r="AR198" s="4">
        <v>25.64</v>
      </c>
      <c r="AS198" s="4">
        <v>24.75</v>
      </c>
      <c r="AT198" s="4">
        <v>24.02</v>
      </c>
      <c r="AU198" s="4">
        <v>24.215</v>
      </c>
      <c r="AV198" s="4">
        <v>24.5</v>
      </c>
      <c r="AW198" s="4">
        <v>24.37</v>
      </c>
      <c r="AX198" s="4">
        <v>24.84</v>
      </c>
      <c r="AY198" s="12">
        <v>25</v>
      </c>
      <c r="AZ198" s="12">
        <v>25.7</v>
      </c>
      <c r="BA198" s="12">
        <v>25.01</v>
      </c>
      <c r="BB198" s="15">
        <v>25.99</v>
      </c>
      <c r="BC198" s="52">
        <v>25.4</v>
      </c>
      <c r="BD198" s="52">
        <v>25.82</v>
      </c>
      <c r="BE198" s="52">
        <v>26.83</v>
      </c>
      <c r="BF198" s="52">
        <v>25.99</v>
      </c>
      <c r="BG198" s="67">
        <v>25.4</v>
      </c>
      <c r="BH198" s="52">
        <v>26.4</v>
      </c>
      <c r="BI198" s="52">
        <v>26.17</v>
      </c>
      <c r="BJ198" s="52">
        <v>28.11</v>
      </c>
      <c r="BK198" s="52">
        <v>26.82</v>
      </c>
      <c r="BL198" s="52">
        <v>27.76</v>
      </c>
      <c r="BM198" s="52">
        <v>27.7</v>
      </c>
      <c r="BN198" s="52">
        <v>28.79</v>
      </c>
      <c r="BO198" s="52" cm="1">
        <f t="array" aca="1" ref="BO198" ca="1">_FV(EC198,"Preço")</f>
        <v>28.79</v>
      </c>
      <c r="BP198" s="69" t="s">
        <v>194</v>
      </c>
      <c r="BQ198" s="36" cm="1">
        <f t="array" aca="1" ref="BQ198" ca="1">_FV(EC198,"Média de volume",TRUE)</f>
        <v>13160</v>
      </c>
      <c r="BR198" s="36">
        <v>8600</v>
      </c>
      <c r="BS198" s="36" cm="1">
        <f t="array" aca="1" ref="BS198" ca="1">_FV(EC198,"Volume")</f>
        <v>8600</v>
      </c>
      <c r="BT198" s="24" cm="1">
        <f t="array" aca="1" ref="BT198" ca="1">_FV(EC198,"Beta")</f>
        <v>0.3085</v>
      </c>
      <c r="BU198" s="71" cm="1">
        <f t="array" aca="1" ref="BU198" ca="1">_FV(EC198,"Variação (%)",TRUE)</f>
        <v>2.0922E-2</v>
      </c>
      <c r="BW198" s="17" cm="1">
        <f t="array" aca="1" ref="BW198" ca="1">_FV(EC198,"Baixo")</f>
        <v>28</v>
      </c>
      <c r="BX198" s="17" cm="1">
        <f t="array" aca="1" ref="BX198" ca="1">_FV(EC198,"Alto")</f>
        <v>28.79</v>
      </c>
      <c r="BY198" s="24"/>
      <c r="BZ198" s="63">
        <f ca="1">SQRT(22.5*(BO198/VLOOKUP(BP198,Fundamentus!A:U,3,FALSE))*(BO198/VLOOKUP(BP198,Fundamentus!A:U,4,FALSE)))</f>
        <v>79.466940716263338</v>
      </c>
      <c r="CB198" s="62">
        <f t="shared" ca="1" si="168"/>
        <v>0</v>
      </c>
      <c r="CC198" s="8"/>
      <c r="CD198" s="61">
        <f t="shared" si="169"/>
        <v>23.48</v>
      </c>
      <c r="CE198" s="61">
        <f t="shared" si="170"/>
        <v>37.15</v>
      </c>
      <c r="CF198" s="61">
        <f t="shared" si="171"/>
        <v>27.614772727272729</v>
      </c>
      <c r="CG198" s="14"/>
      <c r="CH198" s="35">
        <f t="shared" ref="CH198:CH261" si="227">CI198-DY198*2</f>
        <v>27.951964006766651</v>
      </c>
      <c r="CI198" s="15">
        <f t="shared" si="172"/>
        <v>29.230000000000018</v>
      </c>
      <c r="CJ198" s="35">
        <f t="shared" ref="CJ198:CJ261" si="228">CI198+DY198*2</f>
        <v>30.508035993233385</v>
      </c>
      <c r="CL198" s="14"/>
      <c r="CM198" s="17">
        <f t="shared" ref="CM198:CM261" si="229">CD198-2*(CE198-CP198)</f>
        <v>8.7933333333333259</v>
      </c>
      <c r="CN198" s="17">
        <f t="shared" ref="CN198:CN261" si="230">CP198-(CE198-CD198)</f>
        <v>16.136666666666663</v>
      </c>
      <c r="CO198" s="17">
        <f t="shared" ref="CO198:CO261" si="231">2*CP198-CE198</f>
        <v>22.463333333333324</v>
      </c>
      <c r="CP198" s="38">
        <f t="shared" si="173"/>
        <v>29.806666666666661</v>
      </c>
      <c r="CQ198" s="17">
        <f t="shared" ref="CQ198:CQ261" si="232">2*CP198-CD198</f>
        <v>36.133333333333326</v>
      </c>
      <c r="CR198" s="17">
        <f t="shared" ref="CR198:CR261" si="233">CP198+(CE198-CD198)</f>
        <v>43.476666666666659</v>
      </c>
      <c r="CS198" s="17">
        <f t="shared" ref="CS198:CS261" si="234">CE198+2*(CP198-CD198)</f>
        <v>49.80333333333332</v>
      </c>
      <c r="CT198" s="2" cm="1">
        <f t="array" aca="1" ref="CT198" ca="1">MAX(_xlfn._xlws.FILTER(CM198:CS198,CM198:CS198&lt;BO198))</f>
        <v>22.463333333333324</v>
      </c>
      <c r="CU198" s="2" cm="1">
        <f t="array" aca="1" ref="CU198" ca="1">MIN(_xlfn._xlws.FILTER($CM198:$CS198,$CM198:$CS198&gt;BO198))</f>
        <v>29.806666666666661</v>
      </c>
      <c r="CV198" s="16">
        <f t="shared" ca="1" si="209"/>
        <v>0.32690310135034895</v>
      </c>
      <c r="CW198" s="20">
        <f t="shared" ca="1" si="210"/>
        <v>-0.16345155067517447</v>
      </c>
      <c r="CX198" s="20">
        <f t="shared" ca="1" si="211"/>
        <v>-0.10896770045011632</v>
      </c>
      <c r="CY198" s="20">
        <f t="shared" ca="1" si="212"/>
        <v>-6.5380620270069786E-2</v>
      </c>
      <c r="CZ198" s="20">
        <f t="shared" ca="1" si="213"/>
        <v>-3.632256681670544E-2</v>
      </c>
      <c r="DA198" s="20">
        <f t="shared" ca="1" si="214"/>
        <v>-1.9229594197079349E-2</v>
      </c>
      <c r="DB198" s="20">
        <f t="shared" ca="1" si="215"/>
        <v>-9.90615458637421E-3</v>
      </c>
      <c r="DC198" s="20">
        <f t="shared" ca="1" si="216"/>
        <v>-5.0292784823130609E-3</v>
      </c>
      <c r="DD198" s="21">
        <f t="shared" ca="1" si="217"/>
        <v>5.0292784823130609E-3</v>
      </c>
      <c r="DE198" s="21">
        <f t="shared" ca="1" si="218"/>
        <v>9.90615458637421E-3</v>
      </c>
      <c r="DF198" s="21">
        <f t="shared" ca="1" si="219"/>
        <v>1.9229594197079349E-2</v>
      </c>
      <c r="DG198" s="21">
        <f t="shared" ca="1" si="220"/>
        <v>3.632256681670544E-2</v>
      </c>
      <c r="DH198" s="21">
        <f t="shared" ca="1" si="221"/>
        <v>6.5380620270069786E-2</v>
      </c>
      <c r="DI198" s="21">
        <f t="shared" ca="1" si="222"/>
        <v>0.10896770045011632</v>
      </c>
      <c r="DJ198" s="21">
        <f t="shared" ca="1" si="223"/>
        <v>0.16345155067517447</v>
      </c>
      <c r="DL198" s="16" cm="1">
        <f t="array" aca="1" ref="DL198" ca="1">MAX(_xlfn._xlws.FILTER(CW198:DJ198,CW198:DJ198&lt;BU198))</f>
        <v>1.9229594197079349E-2</v>
      </c>
      <c r="DM198" s="16" cm="1">
        <f t="array" aca="1" ref="DM198" ca="1">MIN(_xlfn._xlws.FILTER(CW198:DJ198,CW198:DJ198&gt;BU198))</f>
        <v>3.632256681670544E-2</v>
      </c>
      <c r="DN198" s="2" cm="1">
        <f t="array" aca="1" ref="DN198" ca="1">_FV(EC198,"Fechamento anterior",TRUE)</f>
        <v>28.2</v>
      </c>
      <c r="DO198" s="28">
        <f t="shared" ref="DO198:DO261" ca="1" si="235">(BO198-DP198)/(DQ198-DP198)</f>
        <v>9.9010959426701989E-2</v>
      </c>
      <c r="DP198" s="15">
        <f t="shared" ca="1" si="224"/>
        <v>28.742274556357636</v>
      </c>
      <c r="DQ198" s="15">
        <f t="shared" ca="1" si="225"/>
        <v>29.224296384231092</v>
      </c>
      <c r="DR198" s="9"/>
      <c r="DS198" s="9"/>
      <c r="DT198" s="9"/>
      <c r="DU198" s="89">
        <v>5.265860217643469E-3</v>
      </c>
      <c r="DV198" s="89">
        <f t="shared" ref="DV198:DV261" ca="1" si="236">DM198-DL198</f>
        <v>1.7092972619626091E-2</v>
      </c>
      <c r="DW198" s="72">
        <f t="shared" ref="DW198:DW261" ca="1" si="237">(BO198-CI198)/(CI198-CH198)</f>
        <v>-0.3442782537656402</v>
      </c>
      <c r="DX198" s="37"/>
      <c r="DY198" s="35">
        <f t="shared" si="174"/>
        <v>0.63901799661668324</v>
      </c>
      <c r="DZ198" s="56"/>
      <c r="EA198" s="56"/>
      <c r="EC198" s="2" t="e" vm="200">
        <v>#VALUE!</v>
      </c>
      <c r="EE198" s="10" cm="1">
        <f t="array" aca="1" ref="EE198" ca="1">_FV(EC198,"Ações em circulação",TRUE)</f>
        <v>86302020</v>
      </c>
      <c r="EF198" s="18">
        <f>VLOOKUP(BP198,Fundamentus!A:U,5,FALSE)</f>
        <v>0.28299999999999997</v>
      </c>
      <c r="EG198" s="2">
        <f t="shared" ref="EG198:EG261" ca="1" si="238">(BO198*EE198)/EF198</f>
        <v>8779629525.7950535</v>
      </c>
      <c r="EH198" s="17">
        <v>386303699.13498235</v>
      </c>
      <c r="EI198" s="17">
        <f t="shared" ref="EI198:EI261" ca="1" si="239">EG198*EU198</f>
        <v>386303699.13498235</v>
      </c>
      <c r="EK198" s="16">
        <f t="shared" ca="1" si="226"/>
        <v>0</v>
      </c>
      <c r="EL198" s="32" t="str">
        <f>IF(VLOOKUP(BP198,Fundamentus!A:U,3,FALSE)&lt;15,"Bom",IF(VLOOKUP(BP198,Fundamentus!A:U,3,FALSE)&gt;15,"Ruim","n/a"))</f>
        <v>Bom</v>
      </c>
      <c r="EM198" s="28" t="str">
        <f>IF(VLOOKUP(BP198,Fundamentus!A:U,4,FALSE)&lt;1,"Baixo",IF(VLOOKUP(BP198,Fundamentus!A:U,4,FALSE)&lt;1.5,"Moderado",IF(VLOOKUP(BP198,Fundamentus!A:U,4,FALSE)&gt;1.5,"Alto","n/a")))</f>
        <v>Baixo</v>
      </c>
      <c r="EN198" s="17" t="str">
        <f>IF(VLOOKUP(BP198,Fundamentus!A:U,8,FALSE)&lt;0,"Risco elevado",IF(VLOOKUP(BP198,Fundamentus!A:U,8,FALSE)&lt;1,"Saudável",IF(VLOOKUP(BP198,Fundamentus!A:U,8,FALSE)&lt;3,"Estável",IF(VLOOKUP(BP198,Fundamentus!A:U,8,FALSE)&gt;3,"Alerta","n/a"))))</f>
        <v>Risco elevado</v>
      </c>
      <c r="EO198" s="28" t="str">
        <f t="shared" ref="EO198:EO261" si="240">IF(EF198&gt;1,"Bom","Ruim")</f>
        <v>Ruim</v>
      </c>
      <c r="EP198" s="17" t="str">
        <f>IF(VLOOKUP(BP198,Fundamentus!A:U,12,FALSE)&lt;2,"Subvalorizada",IF(VLOOKUP(BP198,Fundamentus!A:U,12,FALSE)&lt;6,"Muita barata",IF(VLOOKUP(BP198,Fundamentus!A:U,12,FALSE)&lt;6,"Barata",IF(VLOOKUP(BP198,Fundamentus!A:U,12,FALSE)&lt;8,"Atrativa",IF(VLOOKUP(BP198,Fundamentus!A:U,12,FALSE)&gt;8,"Supervalorizada","n/a")))))</f>
        <v>Muita barata</v>
      </c>
      <c r="ER198" s="17" t="str">
        <f>IF(VLOOKUP(BP198,Fundamentus!A:U,17,FALSE)&lt;0.1,"Fraco retorno",IF(VLOOKUP(BP198,Fundamentus!A:U,17,FALSE)&gt;0.1,"Bom retorno","n/a"))</f>
        <v>Fraco retorno</v>
      </c>
      <c r="ES198" s="17" t="str">
        <f>IF(VLOOKUP(BP198,Fundamentus!A:U,16,FALSE)&lt;0.1,"Ineficiente",IF(VLOOKUP(BP198,Fundamentus!A:U,16,FALSE)&gt;0.1,"Eficiente","n/a"))</f>
        <v>Ineficiente</v>
      </c>
      <c r="ET198" s="33" t="str">
        <f>IF(VLOOKUP(BP198,Fundamentus!A:U,16,FALSE)&lt;0.1,"Oper. Ineficiente",IF(VLOOKUP(BP198,Fundamentus!A:U,16,FALSE)&gt;0.1,"Oper.Eficiente","n/a"))</f>
        <v>Oper. Ineficiente</v>
      </c>
      <c r="EU198" s="34">
        <f>VLOOKUP(BP198,Fundamentus!A:U,14,FALSE)</f>
        <v>4.3999999999999997E-2</v>
      </c>
      <c r="EV198" s="17" t="str">
        <f>IF(VLOOKUP(BP198,Fundamentus!A:U,21,FALSE)&lt;0,"Negativo",IF(VLOOKUP(BP198,Fundamentus!A:U,21,FALSE)&lt;0.05,"Fraco",IF(VLOOKUP(BP198,Fundamentus!A:U,21,FALSE)&lt;0.1,"Bom",IF(VLOOKUP(BP198,Fundamentus!A:U,21,FALSE)&gt;0.1,"Muito bom","n/a"))))</f>
        <v>Bom</v>
      </c>
      <c r="EX198" s="29" t="str">
        <f>IF(VLOOKUP(BP198,Fundamentus!A:U,15,FALSE)&gt;1,"Bom",IF(VLOOKUP(BP198,Fundamentus!A:U,15,FALSE)&lt;1,"Ruim","n/a"))</f>
        <v>Ruim</v>
      </c>
      <c r="EY198" s="17" t="str">
        <f>IF(VLOOKUP(BP198,Fundamentus!A:U,20,FALSE)&lt;0.5,"Baixa",IF(VLOOKUP(BP198,Fundamentus!A:U,20,FALSE)&lt;1,"Moderada",IF(VLOOKUP(BP198,Fundamentus!A:U,20,FALSE)&lt;2,"Alerta",IF(VLOOKUP(BP198,Fundamentus!A:U,20,FALSE)&gt;2,"Alta","n/a"))))</f>
        <v>Alerta</v>
      </c>
      <c r="EZ198" s="10"/>
    </row>
    <row r="199" spans="1:156" s="2" customFormat="1" ht="11.25" x14ac:dyDescent="0.2">
      <c r="A199" s="4">
        <v>12.02</v>
      </c>
      <c r="B199" s="4">
        <v>12.26</v>
      </c>
      <c r="C199" s="4">
        <v>10.36</v>
      </c>
      <c r="D199" s="4">
        <v>9.49</v>
      </c>
      <c r="E199" s="4">
        <v>9.6</v>
      </c>
      <c r="F199" s="4">
        <v>9.66</v>
      </c>
      <c r="G199" s="4">
        <v>9.58</v>
      </c>
      <c r="H199" s="4">
        <v>9.65</v>
      </c>
      <c r="I199" s="4">
        <v>9.36</v>
      </c>
      <c r="J199" s="4">
        <v>9.99</v>
      </c>
      <c r="K199" s="4">
        <v>10.54</v>
      </c>
      <c r="L199" s="4">
        <v>9.3000000000000007</v>
      </c>
      <c r="M199" s="4">
        <v>8.5299999999999994</v>
      </c>
      <c r="N199" s="4">
        <v>8.9600000000000009</v>
      </c>
      <c r="O199" s="4">
        <v>8.56</v>
      </c>
      <c r="P199" s="4">
        <v>9.15</v>
      </c>
      <c r="Q199" s="4">
        <v>10.34</v>
      </c>
      <c r="R199" s="4">
        <v>10.17</v>
      </c>
      <c r="S199" s="4">
        <v>10.220000000000001</v>
      </c>
      <c r="T199" s="4">
        <v>10.54</v>
      </c>
      <c r="U199" s="4">
        <v>10.34</v>
      </c>
      <c r="V199" s="4">
        <v>10.46</v>
      </c>
      <c r="W199" s="4">
        <v>9.9499999999999993</v>
      </c>
      <c r="X199" s="4">
        <v>11.02</v>
      </c>
      <c r="Y199" s="4">
        <v>11.73</v>
      </c>
      <c r="Z199" s="4">
        <v>12.91</v>
      </c>
      <c r="AA199" s="4">
        <v>12.72</v>
      </c>
      <c r="AB199" s="4">
        <v>12.8</v>
      </c>
      <c r="AC199" s="4">
        <v>11.55</v>
      </c>
      <c r="AD199" s="4">
        <v>12.45</v>
      </c>
      <c r="AE199" s="4">
        <v>10.57</v>
      </c>
      <c r="AF199" s="4">
        <v>10.06</v>
      </c>
      <c r="AG199" s="4">
        <v>9.91</v>
      </c>
      <c r="AH199" s="4">
        <v>9.17</v>
      </c>
      <c r="AI199" s="4">
        <v>8.4700000000000006</v>
      </c>
      <c r="AJ199" s="4">
        <v>7.44</v>
      </c>
      <c r="AK199" s="4">
        <v>7.72</v>
      </c>
      <c r="AL199" s="4">
        <v>7.99</v>
      </c>
      <c r="AM199" s="4">
        <v>8.7899999999999991</v>
      </c>
      <c r="AN199" s="4">
        <v>9.7899999999999991</v>
      </c>
      <c r="AO199" s="4">
        <v>9.65</v>
      </c>
      <c r="AP199" s="4">
        <v>10.3</v>
      </c>
      <c r="AQ199" s="4">
        <v>9.7899999999999991</v>
      </c>
      <c r="AR199" s="4">
        <v>9.8699999999999992</v>
      </c>
      <c r="AS199" s="4">
        <v>10.52</v>
      </c>
      <c r="AT199" s="4">
        <v>10.79</v>
      </c>
      <c r="AU199" s="4">
        <v>10.335000000000001</v>
      </c>
      <c r="AV199" s="4">
        <v>11.04</v>
      </c>
      <c r="AW199" s="4">
        <v>11.32</v>
      </c>
      <c r="AX199" s="4">
        <v>12.05</v>
      </c>
      <c r="AY199" s="12">
        <v>12.72</v>
      </c>
      <c r="AZ199" s="12">
        <v>13.42</v>
      </c>
      <c r="BA199" s="12">
        <v>13.31</v>
      </c>
      <c r="BB199" s="15">
        <v>14.6</v>
      </c>
      <c r="BC199" s="52">
        <v>16.5</v>
      </c>
      <c r="BD199" s="52">
        <v>17.059999999999999</v>
      </c>
      <c r="BE199" s="52">
        <v>17.829999999999998</v>
      </c>
      <c r="BF199" s="52">
        <v>17.100000000000001</v>
      </c>
      <c r="BG199" s="67">
        <v>16.649999999999999</v>
      </c>
      <c r="BH199" s="52">
        <v>16.89</v>
      </c>
      <c r="BI199" s="52">
        <v>19.940000000000001</v>
      </c>
      <c r="BJ199" s="52">
        <v>19.73</v>
      </c>
      <c r="BK199" s="52">
        <v>17.649999999999999</v>
      </c>
      <c r="BL199" s="52">
        <v>16.53</v>
      </c>
      <c r="BM199" s="52">
        <v>15.96</v>
      </c>
      <c r="BN199" s="52">
        <v>17.07</v>
      </c>
      <c r="BO199" s="52" cm="1">
        <f t="array" aca="1" ref="BO199" ca="1">_FV(EC199,"Preço")</f>
        <v>17.07</v>
      </c>
      <c r="BP199" s="69" t="s">
        <v>195</v>
      </c>
      <c r="BQ199" s="36" cm="1">
        <f t="array" aca="1" ref="BQ199" ca="1">_FV(EC199,"Média de volume",TRUE)</f>
        <v>2634060</v>
      </c>
      <c r="BR199" s="36">
        <v>2319400</v>
      </c>
      <c r="BS199" s="36" cm="1">
        <f t="array" aca="1" ref="BS199" ca="1">_FV(EC199,"Volume")</f>
        <v>2319400</v>
      </c>
      <c r="BT199" s="24" cm="1">
        <f t="array" aca="1" ref="BT199" ca="1">_FV(EC199,"Beta")</f>
        <v>2.0958999999999999</v>
      </c>
      <c r="BU199" s="71" cm="1">
        <f t="array" aca="1" ref="BU199" ca="1">_FV(EC199,"Variação (%)",TRUE)</f>
        <v>3.6429999999999997E-2</v>
      </c>
      <c r="BW199" s="17" cm="1">
        <f t="array" aca="1" ref="BW199" ca="1">_FV(EC199,"Baixo")</f>
        <v>16.82</v>
      </c>
      <c r="BX199" s="17" cm="1">
        <f t="array" aca="1" ref="BX199" ca="1">_FV(EC199,"Alto")</f>
        <v>17.34</v>
      </c>
      <c r="BY199" s="24"/>
      <c r="BZ199" s="63">
        <f ca="1">SQRT(22.5*(BO199/VLOOKUP(BP199,Fundamentus!A:U,3,FALSE))*(BO199/VLOOKUP(BP199,Fundamentus!A:U,4,FALSE)))</f>
        <v>17.072276455301179</v>
      </c>
      <c r="CB199" s="62">
        <f t="shared" ref="CB199:CB262" ca="1" si="241">(BO199 - BN199) / BN199</f>
        <v>0</v>
      </c>
      <c r="CC199" s="8"/>
      <c r="CD199" s="61">
        <f t="shared" ref="CD199:CD262" si="242">MIN(A199:BN199)</f>
        <v>7.44</v>
      </c>
      <c r="CE199" s="61">
        <f t="shared" ref="CE199:CE262" si="243">MAX(A199:BN199)</f>
        <v>19.940000000000001</v>
      </c>
      <c r="CF199" s="61">
        <f t="shared" ref="CF199:CF262" si="244">AVERAGE(A199:BN199)</f>
        <v>11.70825757575758</v>
      </c>
      <c r="CG199" s="14"/>
      <c r="CH199" s="35">
        <f t="shared" si="227"/>
        <v>13.628066423645132</v>
      </c>
      <c r="CI199" s="15">
        <f t="shared" ref="CI199:CI262" si="245">FORECAST("08/08/2025", BK199:BN199, $BK$5:$BN$5)</f>
        <v>16.225000000000136</v>
      </c>
      <c r="CJ199" s="35">
        <f t="shared" si="228"/>
        <v>18.821933576355143</v>
      </c>
      <c r="CL199" s="14"/>
      <c r="CM199" s="17">
        <f t="shared" si="229"/>
        <v>-2.8066666666666658</v>
      </c>
      <c r="CN199" s="17">
        <f t="shared" si="230"/>
        <v>2.3166666666666682</v>
      </c>
      <c r="CO199" s="17">
        <f t="shared" si="231"/>
        <v>9.6933333333333351</v>
      </c>
      <c r="CP199" s="38">
        <f t="shared" ref="CP199:CP262" si="246">(CE199+CD199+BN199)/3</f>
        <v>14.816666666666668</v>
      </c>
      <c r="CQ199" s="17">
        <f t="shared" si="232"/>
        <v>22.193333333333335</v>
      </c>
      <c r="CR199" s="17">
        <f t="shared" si="233"/>
        <v>27.31666666666667</v>
      </c>
      <c r="CS199" s="17">
        <f t="shared" si="234"/>
        <v>34.693333333333335</v>
      </c>
      <c r="CT199" s="2" cm="1">
        <f t="array" aca="1" ref="CT199" ca="1">MAX(_xlfn._xlws.FILTER(CM199:CS199,CM199:CS199&lt;BO199))</f>
        <v>14.816666666666668</v>
      </c>
      <c r="CU199" s="2" cm="1">
        <f t="array" aca="1" ref="CU199" ca="1">MIN(_xlfn._xlws.FILTER($CM199:$CS199,$CM199:$CS199&gt;BO199))</f>
        <v>22.193333333333335</v>
      </c>
      <c r="CV199" s="16">
        <f t="shared" ca="1" si="209"/>
        <v>0.4978627671541056</v>
      </c>
      <c r="CW199" s="20">
        <f t="shared" ca="1" si="210"/>
        <v>-0.2489313835770528</v>
      </c>
      <c r="CX199" s="20">
        <f t="shared" ca="1" si="211"/>
        <v>-0.16595425571803521</v>
      </c>
      <c r="CY199" s="20">
        <f t="shared" ca="1" si="212"/>
        <v>-9.9572553430821123E-2</v>
      </c>
      <c r="CZ199" s="20">
        <f t="shared" ca="1" si="213"/>
        <v>-5.5318085239345068E-2</v>
      </c>
      <c r="DA199" s="20">
        <f t="shared" ca="1" si="214"/>
        <v>-2.9286045126712096E-2</v>
      </c>
      <c r="DB199" s="20">
        <f t="shared" ca="1" si="215"/>
        <v>-1.5086750519821382E-2</v>
      </c>
      <c r="DC199" s="20">
        <f t="shared" ca="1" si="216"/>
        <v>-7.6594271869862398E-3</v>
      </c>
      <c r="DD199" s="21">
        <f t="shared" ca="1" si="217"/>
        <v>7.6594271869862398E-3</v>
      </c>
      <c r="DE199" s="21">
        <f t="shared" ca="1" si="218"/>
        <v>1.5086750519821382E-2</v>
      </c>
      <c r="DF199" s="21">
        <f t="shared" ca="1" si="219"/>
        <v>2.9286045126712096E-2</v>
      </c>
      <c r="DG199" s="21">
        <f t="shared" ca="1" si="220"/>
        <v>5.5318085239345068E-2</v>
      </c>
      <c r="DH199" s="21">
        <f t="shared" ca="1" si="221"/>
        <v>9.9572553430821123E-2</v>
      </c>
      <c r="DI199" s="21">
        <f t="shared" ca="1" si="222"/>
        <v>0.16595425571803521</v>
      </c>
      <c r="DJ199" s="21">
        <f t="shared" ca="1" si="223"/>
        <v>0.2489313835770528</v>
      </c>
      <c r="DL199" s="16" cm="1">
        <f t="array" aca="1" ref="DL199" ca="1">MAX(_xlfn._xlws.FILTER(CW199:DJ199,CW199:DJ199&lt;BU199))</f>
        <v>2.9286045126712096E-2</v>
      </c>
      <c r="DM199" s="16" cm="1">
        <f t="array" aca="1" ref="DM199" ca="1">MIN(_xlfn._xlws.FILTER(CW199:DJ199,CW199:DJ199&gt;BU199))</f>
        <v>5.5318085239345068E-2</v>
      </c>
      <c r="DN199" s="2" cm="1">
        <f t="array" aca="1" ref="DN199" ca="1">_FV(EC199,"Fechamento anterior",TRUE)</f>
        <v>16.47</v>
      </c>
      <c r="DO199" s="28">
        <f t="shared" ca="1" si="235"/>
        <v>0.27442441459927858</v>
      </c>
      <c r="DP199" s="15">
        <f t="shared" ca="1" si="224"/>
        <v>16.952341163236948</v>
      </c>
      <c r="DQ199" s="15">
        <f t="shared" ca="1" si="225"/>
        <v>17.38108886389201</v>
      </c>
      <c r="DR199" s="9"/>
      <c r="DS199" s="9"/>
      <c r="DT199" s="9"/>
      <c r="DU199" s="89">
        <v>2.5709152559528325E-2</v>
      </c>
      <c r="DV199" s="89">
        <f t="shared" ca="1" si="236"/>
        <v>2.6032040112632972E-2</v>
      </c>
      <c r="DW199" s="72">
        <f t="shared" ca="1" si="237"/>
        <v>0.32538375555445903</v>
      </c>
      <c r="DX199" s="37"/>
      <c r="DY199" s="35">
        <f t="shared" ref="DY199:DY262" si="247">_xlfn.STDEV.P(BJ199:BN199)</f>
        <v>1.2984667881775025</v>
      </c>
      <c r="DZ199" s="56"/>
      <c r="EA199" s="56"/>
      <c r="EC199" s="2" t="e" vm="201">
        <v>#VALUE!</v>
      </c>
      <c r="EE199" s="10" cm="1">
        <f t="array" aca="1" ref="EE199" ca="1">_FV(EC199,"Ações em circulação",TRUE)</f>
        <v>308245100</v>
      </c>
      <c r="EF199" s="18">
        <f>VLOOKUP(BP199,Fundamentus!A:U,5,FALSE)</f>
        <v>0.68300000000000005</v>
      </c>
      <c r="EG199" s="2">
        <f t="shared" ca="1" si="238"/>
        <v>7703870947.2913609</v>
      </c>
      <c r="EH199" s="17">
        <v>381341611.89092237</v>
      </c>
      <c r="EI199" s="17">
        <f t="shared" ca="1" si="239"/>
        <v>381341611.89092237</v>
      </c>
      <c r="EK199" s="16">
        <f t="shared" ca="1" si="226"/>
        <v>0</v>
      </c>
      <c r="EL199" s="32" t="str">
        <f>IF(VLOOKUP(BP199,Fundamentus!A:U,3,FALSE)&lt;15,"Bom",IF(VLOOKUP(BP199,Fundamentus!A:U,3,FALSE)&gt;15,"Ruim","n/a"))</f>
        <v>Bom</v>
      </c>
      <c r="EM199" s="28" t="str">
        <f>IF(VLOOKUP(BP199,Fundamentus!A:U,4,FALSE)&lt;1,"Baixo",IF(VLOOKUP(BP199,Fundamentus!A:U,4,FALSE)&lt;1.5,"Moderado",IF(VLOOKUP(BP199,Fundamentus!A:U,4,FALSE)&gt;1.5,"Alto","n/a")))</f>
        <v>Alto</v>
      </c>
      <c r="EN199" s="17" t="str">
        <f>IF(VLOOKUP(BP199,Fundamentus!A:U,8,FALSE)&lt;0,"Risco elevado",IF(VLOOKUP(BP199,Fundamentus!A:U,8,FALSE)&lt;1,"Saudável",IF(VLOOKUP(BP199,Fundamentus!A:U,8,FALSE)&lt;3,"Estável",IF(VLOOKUP(BP199,Fundamentus!A:U,8,FALSE)&gt;3,"Alerta","n/a"))))</f>
        <v>Alerta</v>
      </c>
      <c r="EO199" s="28" t="str">
        <f t="shared" si="240"/>
        <v>Ruim</v>
      </c>
      <c r="EP199" s="17" t="str">
        <f>IF(VLOOKUP(BP199,Fundamentus!A:U,12,FALSE)&lt;2,"Subvalorizada",IF(VLOOKUP(BP199,Fundamentus!A:U,12,FALSE)&lt;6,"Muita barata",IF(VLOOKUP(BP199,Fundamentus!A:U,12,FALSE)&lt;6,"Barata",IF(VLOOKUP(BP199,Fundamentus!A:U,12,FALSE)&lt;8,"Atrativa",IF(VLOOKUP(BP199,Fundamentus!A:U,12,FALSE)&gt;8,"Supervalorizada","n/a")))))</f>
        <v>Muita barata</v>
      </c>
      <c r="ER199" s="17" t="str">
        <f>IF(VLOOKUP(BP199,Fundamentus!A:U,17,FALSE)&lt;0.1,"Fraco retorno",IF(VLOOKUP(BP199,Fundamentus!A:U,17,FALSE)&gt;0.1,"Bom retorno","n/a"))</f>
        <v>Bom retorno</v>
      </c>
      <c r="ES199" s="17" t="str">
        <f>IF(VLOOKUP(BP199,Fundamentus!A:U,16,FALSE)&lt;0.1,"Ineficiente",IF(VLOOKUP(BP199,Fundamentus!A:U,16,FALSE)&gt;0.1,"Eficiente","n/a"))</f>
        <v>Eficiente</v>
      </c>
      <c r="ET199" s="33" t="str">
        <f>IF(VLOOKUP(BP199,Fundamentus!A:U,16,FALSE)&lt;0.1,"Oper. Ineficiente",IF(VLOOKUP(BP199,Fundamentus!A:U,16,FALSE)&gt;0.1,"Oper.Eficiente","n/a"))</f>
        <v>Oper.Eficiente</v>
      </c>
      <c r="EU199" s="34">
        <f>VLOOKUP(BP199,Fundamentus!A:U,14,FALSE)</f>
        <v>4.9500000000000002E-2</v>
      </c>
      <c r="EV199" s="17" t="str">
        <f>IF(VLOOKUP(BP199,Fundamentus!A:U,21,FALSE)&lt;0,"Negativo",IF(VLOOKUP(BP199,Fundamentus!A:U,21,FALSE)&lt;0.05,"Fraco",IF(VLOOKUP(BP199,Fundamentus!A:U,21,FALSE)&lt;0.1,"Bom",IF(VLOOKUP(BP199,Fundamentus!A:U,21,FALSE)&gt;0.1,"Muito bom","n/a"))))</f>
        <v>Muito bom</v>
      </c>
      <c r="EX199" s="29" t="str">
        <f>IF(VLOOKUP(BP199,Fundamentus!A:U,15,FALSE)&gt;1,"Bom",IF(VLOOKUP(BP199,Fundamentus!A:U,15,FALSE)&lt;1,"Ruim","n/a"))</f>
        <v>Bom</v>
      </c>
      <c r="EY199" s="17" t="str">
        <f>IF(VLOOKUP(BP199,Fundamentus!A:U,20,FALSE)&lt;0.5,"Baixa",IF(VLOOKUP(BP199,Fundamentus!A:U,20,FALSE)&lt;1,"Moderada",IF(VLOOKUP(BP199,Fundamentus!A:U,20,FALSE)&lt;2,"Alerta",IF(VLOOKUP(BP199,Fundamentus!A:U,20,FALSE)&gt;2,"Alta","n/a"))))</f>
        <v>Baixa</v>
      </c>
      <c r="EZ199" s="10"/>
    </row>
    <row r="200" spans="1:156" s="2" customFormat="1" ht="11.25" x14ac:dyDescent="0.2">
      <c r="A200" s="4">
        <v>10.65</v>
      </c>
      <c r="B200" s="4">
        <v>10.9</v>
      </c>
      <c r="C200" s="4">
        <v>8.99</v>
      </c>
      <c r="D200" s="4">
        <v>8.52</v>
      </c>
      <c r="E200" s="4">
        <v>8.08</v>
      </c>
      <c r="F200" s="4">
        <v>9.08</v>
      </c>
      <c r="G200" s="4">
        <v>8.4</v>
      </c>
      <c r="H200" s="4">
        <v>9.5299999999999994</v>
      </c>
      <c r="I200" s="4">
        <v>12.76</v>
      </c>
      <c r="J200" s="4">
        <v>19</v>
      </c>
      <c r="K200" s="4">
        <v>21</v>
      </c>
      <c r="L200" s="4">
        <v>27.12</v>
      </c>
      <c r="M200" s="4">
        <v>43.87</v>
      </c>
      <c r="N200" s="4">
        <v>66.900000000000006</v>
      </c>
      <c r="O200" s="4">
        <v>97.35</v>
      </c>
      <c r="P200" s="4">
        <v>76.5</v>
      </c>
      <c r="Q200" s="4">
        <v>88.22</v>
      </c>
      <c r="R200" s="4">
        <v>71.260000000000005</v>
      </c>
      <c r="S200" s="4">
        <v>65.89</v>
      </c>
      <c r="T200" s="4">
        <v>67.5</v>
      </c>
      <c r="U200" s="4">
        <v>75</v>
      </c>
      <c r="V200" s="4">
        <v>134.5</v>
      </c>
      <c r="W200" s="4">
        <v>135</v>
      </c>
      <c r="X200" s="4">
        <v>133.01</v>
      </c>
      <c r="Y200" s="4">
        <v>135.21</v>
      </c>
      <c r="Z200" s="4">
        <v>131.55000000000001</v>
      </c>
      <c r="AA200" s="4">
        <v>126.8</v>
      </c>
      <c r="AB200" s="4">
        <v>158</v>
      </c>
      <c r="AC200" s="4">
        <v>168.31</v>
      </c>
      <c r="AD200" s="4">
        <v>170</v>
      </c>
      <c r="AE200" s="4">
        <v>160.99</v>
      </c>
      <c r="AF200" s="4">
        <v>146.61000000000001</v>
      </c>
      <c r="AG200" s="4">
        <v>268.51</v>
      </c>
      <c r="AH200" s="4">
        <v>140</v>
      </c>
      <c r="AI200" s="4">
        <v>134.96</v>
      </c>
      <c r="AJ200" s="4">
        <v>118.87</v>
      </c>
      <c r="AK200" s="4">
        <v>120.25</v>
      </c>
      <c r="AL200" s="4">
        <v>124.3</v>
      </c>
      <c r="AM200" s="4">
        <v>120.32</v>
      </c>
      <c r="AN200" s="4">
        <v>131.54</v>
      </c>
      <c r="AO200" s="4">
        <v>121.33</v>
      </c>
      <c r="AP200" s="4">
        <v>122.04</v>
      </c>
      <c r="AQ200" s="4">
        <v>120.6</v>
      </c>
      <c r="AR200" s="4">
        <v>125.17</v>
      </c>
      <c r="AS200" s="4">
        <v>132.88</v>
      </c>
      <c r="AT200" s="4">
        <v>130.44</v>
      </c>
      <c r="AU200" s="4">
        <v>123.005</v>
      </c>
      <c r="AV200" s="4">
        <v>120.1</v>
      </c>
      <c r="AW200" s="4">
        <v>123.68</v>
      </c>
      <c r="AX200" s="4">
        <v>127.94</v>
      </c>
      <c r="AY200" s="12">
        <v>135.25</v>
      </c>
      <c r="AZ200" s="12">
        <v>141.75</v>
      </c>
      <c r="BA200" s="12">
        <v>122</v>
      </c>
      <c r="BB200" s="15">
        <v>120.01</v>
      </c>
      <c r="BC200" s="52">
        <v>125.01</v>
      </c>
      <c r="BD200" s="52">
        <v>130.66999999999999</v>
      </c>
      <c r="BE200" s="52">
        <v>192</v>
      </c>
      <c r="BF200" s="52">
        <v>178.01</v>
      </c>
      <c r="BG200" s="67">
        <v>169.82</v>
      </c>
      <c r="BH200" s="52">
        <v>172.18</v>
      </c>
      <c r="BI200" s="52">
        <v>159.75</v>
      </c>
      <c r="BJ200" s="52">
        <v>161.49</v>
      </c>
      <c r="BK200" s="52">
        <v>162.13999999999999</v>
      </c>
      <c r="BL200" s="52">
        <v>141.79</v>
      </c>
      <c r="BM200" s="52">
        <v>132.54</v>
      </c>
      <c r="BN200" s="52">
        <v>136</v>
      </c>
      <c r="BO200" s="52" cm="1">
        <f t="array" aca="1" ref="BO200" ca="1">_FV(EC200,"Preço")</f>
        <v>136</v>
      </c>
      <c r="BP200" s="69" t="s">
        <v>196</v>
      </c>
      <c r="BQ200" s="36" cm="1">
        <f t="array" aca="1" ref="BQ200" ca="1">_FV(EC200,"Média de volume",TRUE)</f>
        <v>38710</v>
      </c>
      <c r="BR200" s="36">
        <v>22100</v>
      </c>
      <c r="BS200" s="36" cm="1">
        <f t="array" aca="1" ref="BS200" ca="1">_FV(EC200,"Volume")</f>
        <v>22100</v>
      </c>
      <c r="BT200" s="24" cm="1">
        <f t="array" aca="1" ref="BT200" ca="1">_FV(EC200,"Beta")</f>
        <v>1.6027</v>
      </c>
      <c r="BU200" s="71" cm="1">
        <f t="array" aca="1" ref="BU200" ca="1">_FV(EC200,"Variação (%)",TRUE)</f>
        <v>3.9279000000000001E-2</v>
      </c>
      <c r="BW200" s="17" cm="1">
        <f t="array" aca="1" ref="BW200" ca="1">_FV(EC200,"Baixo")</f>
        <v>130.07</v>
      </c>
      <c r="BX200" s="17" cm="1">
        <f t="array" aca="1" ref="BX200" ca="1">_FV(EC200,"Alto")</f>
        <v>136.99</v>
      </c>
      <c r="BY200" s="24"/>
      <c r="BZ200" s="63" t="e">
        <f ca="1">SQRT(22.5*(BO200/VLOOKUP(BP200,Fundamentus!A:U,3,FALSE))*(BO200/VLOOKUP(BP200,Fundamentus!A:U,4,FALSE)))</f>
        <v>#NUM!</v>
      </c>
      <c r="CB200" s="62">
        <f t="shared" ca="1" si="241"/>
        <v>0</v>
      </c>
      <c r="CC200" s="8"/>
      <c r="CD200" s="61">
        <f t="shared" si="242"/>
        <v>8.08</v>
      </c>
      <c r="CE200" s="61">
        <f t="shared" si="243"/>
        <v>268.51</v>
      </c>
      <c r="CF200" s="61">
        <f t="shared" si="244"/>
        <v>108.9825</v>
      </c>
      <c r="CG200" s="14"/>
      <c r="CH200" s="35">
        <f t="shared" si="227"/>
        <v>95.961948094194213</v>
      </c>
      <c r="CI200" s="15">
        <f t="shared" si="245"/>
        <v>121.19999999999709</v>
      </c>
      <c r="CJ200" s="35">
        <f t="shared" si="228"/>
        <v>146.43805190579997</v>
      </c>
      <c r="CL200" s="14"/>
      <c r="CM200" s="17">
        <f t="shared" si="229"/>
        <v>-253.87999999999997</v>
      </c>
      <c r="CN200" s="17">
        <f t="shared" si="230"/>
        <v>-122.9</v>
      </c>
      <c r="CO200" s="17">
        <f t="shared" si="231"/>
        <v>6.5500000000000114</v>
      </c>
      <c r="CP200" s="38">
        <f t="shared" si="246"/>
        <v>137.53</v>
      </c>
      <c r="CQ200" s="17">
        <f t="shared" si="232"/>
        <v>266.98</v>
      </c>
      <c r="CR200" s="17">
        <f t="shared" si="233"/>
        <v>397.96000000000004</v>
      </c>
      <c r="CS200" s="17">
        <f t="shared" si="234"/>
        <v>527.41</v>
      </c>
      <c r="CT200" s="2" cm="1">
        <f t="array" aca="1" ref="CT200" ca="1">MAX(_xlfn._xlws.FILTER(CM200:CS200,CM200:CS200&lt;BO200))</f>
        <v>6.5500000000000114</v>
      </c>
      <c r="CU200" s="2" cm="1">
        <f t="array" aca="1" ref="CU200" ca="1">MIN(_xlfn._xlws.FILTER($CM200:$CS200,$CM200:$CS200&gt;BO200))</f>
        <v>137.53</v>
      </c>
      <c r="CV200" s="16">
        <f t="shared" ca="1" si="209"/>
        <v>19.996946564885459</v>
      </c>
      <c r="CW200" s="20">
        <f t="shared" ca="1" si="210"/>
        <v>-9.9984732824427294</v>
      </c>
      <c r="CX200" s="20">
        <f t="shared" ca="1" si="211"/>
        <v>-6.6656488549618196</v>
      </c>
      <c r="CY200" s="20">
        <f t="shared" ca="1" si="212"/>
        <v>-3.9993893129770917</v>
      </c>
      <c r="CZ200" s="20">
        <f t="shared" ca="1" si="213"/>
        <v>-2.22188295165394</v>
      </c>
      <c r="DA200" s="20">
        <f t="shared" ca="1" si="214"/>
        <v>-1.1762909744050269</v>
      </c>
      <c r="DB200" s="20">
        <f t="shared" ca="1" si="215"/>
        <v>-0.60596807772380179</v>
      </c>
      <c r="DC200" s="20">
        <f t="shared" ca="1" si="216"/>
        <v>-0.30764533176746861</v>
      </c>
      <c r="DD200" s="21">
        <f t="shared" ca="1" si="217"/>
        <v>0.30764533176746861</v>
      </c>
      <c r="DE200" s="21">
        <f t="shared" ca="1" si="218"/>
        <v>0.60596807772380179</v>
      </c>
      <c r="DF200" s="21">
        <f t="shared" ca="1" si="219"/>
        <v>1.1762909744050269</v>
      </c>
      <c r="DG200" s="21">
        <f t="shared" ca="1" si="220"/>
        <v>2.22188295165394</v>
      </c>
      <c r="DH200" s="21">
        <f t="shared" ca="1" si="221"/>
        <v>3.9993893129770917</v>
      </c>
      <c r="DI200" s="21">
        <f t="shared" ca="1" si="222"/>
        <v>6.6656488549618196</v>
      </c>
      <c r="DJ200" s="21">
        <f t="shared" ca="1" si="223"/>
        <v>9.9984732824427294</v>
      </c>
      <c r="DL200" s="16" cm="1">
        <f t="array" aca="1" ref="DL200" ca="1">MAX(_xlfn._xlws.FILTER(CW200:DJ200,CW200:DJ200&lt;BU200))</f>
        <v>-0.30764533176746861</v>
      </c>
      <c r="DM200" s="16" cm="1">
        <f t="array" aca="1" ref="DM200" ca="1">MIN(_xlfn._xlws.FILTER(CW200:DJ200,CW200:DJ200&gt;BU200))</f>
        <v>0.30764533176746861</v>
      </c>
      <c r="DN200" s="2" cm="1">
        <f t="array" aca="1" ref="DN200" ca="1">_FV(EC200,"Fechamento anterior",TRUE)</f>
        <v>130.86000000000001</v>
      </c>
      <c r="DO200" s="28">
        <f t="shared" ca="1" si="235"/>
        <v>0.56383750103587837</v>
      </c>
      <c r="DP200" s="15">
        <f t="shared" ca="1" si="224"/>
        <v>90.601531884909065</v>
      </c>
      <c r="DQ200" s="15">
        <f t="shared" ca="1" si="225"/>
        <v>171.11846811509096</v>
      </c>
      <c r="DR200" s="9"/>
      <c r="DS200" s="9"/>
      <c r="DT200" s="9"/>
      <c r="DU200" s="89">
        <v>0.38143796645237471</v>
      </c>
      <c r="DV200" s="89">
        <f t="shared" ca="1" si="236"/>
        <v>0.61529066353493722</v>
      </c>
      <c r="DW200" s="72">
        <f t="shared" ca="1" si="237"/>
        <v>0.5864161011809319</v>
      </c>
      <c r="DX200" s="37"/>
      <c r="DY200" s="35">
        <f t="shared" si="247"/>
        <v>12.619025952901438</v>
      </c>
      <c r="DZ200" s="56"/>
      <c r="EA200" s="56"/>
      <c r="EC200" s="2" t="e" vm="202">
        <v>#VALUE!</v>
      </c>
      <c r="EE200" s="10" cm="1">
        <f t="array" aca="1" ref="EE200" ca="1">_FV(EC200,"Ações em circulação",TRUE)</f>
        <v>167041900</v>
      </c>
      <c r="EF200" s="18">
        <f>VLOOKUP(BP200,Fundamentus!A:U,5,FALSE)</f>
        <v>3.4649999999999999</v>
      </c>
      <c r="EG200" s="2">
        <f t="shared" ca="1" si="238"/>
        <v>6556334314.5743151</v>
      </c>
      <c r="EH200" s="17">
        <v>-129159785.997114</v>
      </c>
      <c r="EI200" s="17">
        <f t="shared" ca="1" si="239"/>
        <v>-129159785.997114</v>
      </c>
      <c r="EK200" s="16">
        <f t="shared" ca="1" si="226"/>
        <v>0</v>
      </c>
      <c r="EL200" s="32" t="str">
        <f>IF(VLOOKUP(BP200,Fundamentus!A:U,3,FALSE)&lt;15,"Bom",IF(VLOOKUP(BP200,Fundamentus!A:U,3,FALSE)&gt;15,"Ruim","n/a"))</f>
        <v>Bom</v>
      </c>
      <c r="EM200" s="28" t="str">
        <f>IF(VLOOKUP(BP200,Fundamentus!A:U,4,FALSE)&lt;1,"Baixo",IF(VLOOKUP(BP200,Fundamentus!A:U,4,FALSE)&lt;1.5,"Moderado",IF(VLOOKUP(BP200,Fundamentus!A:U,4,FALSE)&gt;1.5,"Alto","n/a")))</f>
        <v>Alto</v>
      </c>
      <c r="EN200" s="17" t="str">
        <f>IF(VLOOKUP(BP200,Fundamentus!A:U,8,FALSE)&lt;0,"Risco elevado",IF(VLOOKUP(BP200,Fundamentus!A:U,8,FALSE)&lt;1,"Saudável",IF(VLOOKUP(BP200,Fundamentus!A:U,8,FALSE)&lt;3,"Estável",IF(VLOOKUP(BP200,Fundamentus!A:U,8,FALSE)&gt;3,"Alerta","n/a"))))</f>
        <v>Alerta</v>
      </c>
      <c r="EO200" s="28" t="str">
        <f t="shared" si="240"/>
        <v>Bom</v>
      </c>
      <c r="EP200" s="17" t="str">
        <f>IF(VLOOKUP(BP200,Fundamentus!A:U,12,FALSE)&lt;2,"Subvalorizada",IF(VLOOKUP(BP200,Fundamentus!A:U,12,FALSE)&lt;6,"Muita barata",IF(VLOOKUP(BP200,Fundamentus!A:U,12,FALSE)&lt;6,"Barata",IF(VLOOKUP(BP200,Fundamentus!A:U,12,FALSE)&lt;8,"Atrativa",IF(VLOOKUP(BP200,Fundamentus!A:U,12,FALSE)&gt;8,"Supervalorizada","n/a")))))</f>
        <v>Supervalorizada</v>
      </c>
      <c r="ER200" s="17" t="str">
        <f>IF(VLOOKUP(BP200,Fundamentus!A:U,17,FALSE)&lt;0.1,"Fraco retorno",IF(VLOOKUP(BP200,Fundamentus!A:U,17,FALSE)&gt;0.1,"Bom retorno","n/a"))</f>
        <v>Fraco retorno</v>
      </c>
      <c r="ES200" s="17" t="str">
        <f>IF(VLOOKUP(BP200,Fundamentus!A:U,16,FALSE)&lt;0.1,"Ineficiente",IF(VLOOKUP(BP200,Fundamentus!A:U,16,FALSE)&gt;0.1,"Eficiente","n/a"))</f>
        <v>Ineficiente</v>
      </c>
      <c r="ET200" s="33" t="str">
        <f>IF(VLOOKUP(BP200,Fundamentus!A:U,16,FALSE)&lt;0.1,"Oper. Ineficiente",IF(VLOOKUP(BP200,Fundamentus!A:U,16,FALSE)&gt;0.1,"Oper.Eficiente","n/a"))</f>
        <v>Oper. Ineficiente</v>
      </c>
      <c r="EU200" s="34">
        <f>VLOOKUP(BP200,Fundamentus!A:U,14,FALSE)</f>
        <v>-1.9699999999999999E-2</v>
      </c>
      <c r="EV200" s="17" t="str">
        <f>IF(VLOOKUP(BP200,Fundamentus!A:U,21,FALSE)&lt;0,"Negativo",IF(VLOOKUP(BP200,Fundamentus!A:U,21,FALSE)&lt;0.05,"Fraco",IF(VLOOKUP(BP200,Fundamentus!A:U,21,FALSE)&lt;0.1,"Bom",IF(VLOOKUP(BP200,Fundamentus!A:U,21,FALSE)&gt;0.1,"Muito bom","n/a"))))</f>
        <v>Muito bom</v>
      </c>
      <c r="EX200" s="29" t="str">
        <f>IF(VLOOKUP(BP200,Fundamentus!A:U,15,FALSE)&gt;1,"Bom",IF(VLOOKUP(BP200,Fundamentus!A:U,15,FALSE)&lt;1,"Ruim","n/a"))</f>
        <v>Bom</v>
      </c>
      <c r="EY200" s="17" t="str">
        <f>IF(VLOOKUP(BP200,Fundamentus!A:U,20,FALSE)&lt;0.5,"Baixa",IF(VLOOKUP(BP200,Fundamentus!A:U,20,FALSE)&lt;1,"Moderada",IF(VLOOKUP(BP200,Fundamentus!A:U,20,FALSE)&lt;2,"Alerta",IF(VLOOKUP(BP200,Fundamentus!A:U,20,FALSE)&gt;2,"Alta","n/a"))))</f>
        <v>Alta</v>
      </c>
      <c r="EZ200" s="10"/>
    </row>
    <row r="201" spans="1:156" s="2" customFormat="1" ht="11.25" x14ac:dyDescent="0.2">
      <c r="A201" s="4">
        <v>1.06</v>
      </c>
      <c r="B201" s="4">
        <v>1.04</v>
      </c>
      <c r="C201" s="4">
        <v>0.98</v>
      </c>
      <c r="D201" s="4">
        <v>0.95</v>
      </c>
      <c r="E201" s="4">
        <v>0.97</v>
      </c>
      <c r="F201" s="4">
        <v>0.84</v>
      </c>
      <c r="G201" s="4">
        <v>0.8</v>
      </c>
      <c r="H201" s="4">
        <v>0.79</v>
      </c>
      <c r="I201" s="4">
        <v>0.82</v>
      </c>
      <c r="J201" s="4">
        <v>0.92</v>
      </c>
      <c r="K201" s="4">
        <v>0.99</v>
      </c>
      <c r="L201" s="4">
        <v>1.1000000000000001</v>
      </c>
      <c r="M201" s="4">
        <v>1.1100000000000001</v>
      </c>
      <c r="N201" s="4">
        <v>1.1499999999999999</v>
      </c>
      <c r="O201" s="4">
        <v>1.18</v>
      </c>
      <c r="P201" s="4">
        <v>1.17</v>
      </c>
      <c r="Q201" s="4">
        <v>1.35</v>
      </c>
      <c r="R201" s="4">
        <v>1.31</v>
      </c>
      <c r="S201" s="4">
        <v>1.1499999999999999</v>
      </c>
      <c r="T201" s="4">
        <v>1.1599999999999999</v>
      </c>
      <c r="U201" s="4">
        <v>1.0900000000000001</v>
      </c>
      <c r="V201" s="4">
        <v>1.1399999999999999</v>
      </c>
      <c r="W201" s="4">
        <v>1.1599999999999999</v>
      </c>
      <c r="X201" s="4">
        <v>31.5</v>
      </c>
      <c r="Y201" s="4">
        <v>28.34</v>
      </c>
      <c r="Z201" s="4">
        <v>24.76</v>
      </c>
      <c r="AA201" s="4">
        <v>24.13</v>
      </c>
      <c r="AB201" s="4">
        <v>26.86</v>
      </c>
      <c r="AC201" s="4">
        <v>27.46</v>
      </c>
      <c r="AD201" s="4">
        <v>29.52</v>
      </c>
      <c r="AE201" s="4">
        <v>27.4</v>
      </c>
      <c r="AF201" s="4">
        <v>26.32</v>
      </c>
      <c r="AG201" s="4">
        <v>26.81</v>
      </c>
      <c r="AH201" s="4">
        <v>24.68</v>
      </c>
      <c r="AI201" s="4">
        <v>24.64</v>
      </c>
      <c r="AJ201" s="4">
        <v>21.82</v>
      </c>
      <c r="AK201" s="4">
        <v>19.3</v>
      </c>
      <c r="AL201" s="4">
        <v>20.49</v>
      </c>
      <c r="AM201" s="4">
        <v>21.47</v>
      </c>
      <c r="AN201" s="4">
        <v>20.329999999999998</v>
      </c>
      <c r="AO201" s="4">
        <v>20.27</v>
      </c>
      <c r="AP201" s="4">
        <v>20.399999999999999</v>
      </c>
      <c r="AQ201" s="4">
        <v>20.68</v>
      </c>
      <c r="AR201" s="4">
        <v>21.76</v>
      </c>
      <c r="AS201" s="4">
        <v>21.91</v>
      </c>
      <c r="AT201" s="4">
        <v>22.25</v>
      </c>
      <c r="AU201" s="4">
        <v>22.99</v>
      </c>
      <c r="AV201" s="4">
        <v>22.37</v>
      </c>
      <c r="AW201" s="4">
        <v>19.34</v>
      </c>
      <c r="AX201" s="4">
        <v>20.3</v>
      </c>
      <c r="AY201" s="12">
        <v>19.95</v>
      </c>
      <c r="AZ201" s="12">
        <v>20.02</v>
      </c>
      <c r="BA201" s="12">
        <v>19.8</v>
      </c>
      <c r="BB201" s="15">
        <v>20.190000000000001</v>
      </c>
      <c r="BC201" s="52">
        <v>20.21</v>
      </c>
      <c r="BD201" s="52">
        <v>26.36</v>
      </c>
      <c r="BE201" s="52">
        <v>26</v>
      </c>
      <c r="BF201" s="52">
        <v>26.41</v>
      </c>
      <c r="BG201" s="67">
        <v>26.56</v>
      </c>
      <c r="BH201" s="52">
        <v>26.5</v>
      </c>
      <c r="BI201" s="52">
        <v>26</v>
      </c>
      <c r="BJ201" s="52">
        <v>25.5</v>
      </c>
      <c r="BK201" s="52">
        <v>24.48</v>
      </c>
      <c r="BL201" s="52">
        <v>25</v>
      </c>
      <c r="BM201" s="52">
        <v>25.6</v>
      </c>
      <c r="BN201" s="52">
        <v>25.37</v>
      </c>
      <c r="BO201" s="52" cm="1">
        <f t="array" aca="1" ref="BO201" ca="1">_FV(EC201,"Preço")</f>
        <v>25.37</v>
      </c>
      <c r="BP201" s="69" t="s">
        <v>197</v>
      </c>
      <c r="BQ201" s="36" cm="1">
        <f t="array" aca="1" ref="BQ201" ca="1">_FV(EC201,"Média de volume",TRUE)</f>
        <v>11990</v>
      </c>
      <c r="BR201" s="36">
        <v>8600</v>
      </c>
      <c r="BS201" s="36" cm="1">
        <f t="array" aca="1" ref="BS201" ca="1">_FV(EC201,"Volume")</f>
        <v>8600</v>
      </c>
      <c r="BT201" s="24" cm="1">
        <f t="array" aca="1" ref="BT201" ca="1">_FV(EC201,"Beta")</f>
        <v>1.0530999999999999</v>
      </c>
      <c r="BU201" s="71" cm="1">
        <f t="array" aca="1" ref="BU201" ca="1">_FV(EC201,"Variação (%)",TRUE)</f>
        <v>-1.6667000000000001E-2</v>
      </c>
      <c r="BW201" s="17" cm="1">
        <f t="array" aca="1" ref="BW201" ca="1">_FV(EC201,"Baixo")</f>
        <v>24.9</v>
      </c>
      <c r="BX201" s="17" cm="1">
        <f t="array" aca="1" ref="BX201" ca="1">_FV(EC201,"Alto")</f>
        <v>25.98</v>
      </c>
      <c r="BY201" s="24"/>
      <c r="BZ201" s="63" t="e">
        <f ca="1">SQRT(22.5*(BO201/VLOOKUP(BP201,Fundamentus!A:U,3,FALSE))*(BO201/VLOOKUP(BP201,Fundamentus!A:U,4,FALSE)))</f>
        <v>#NUM!</v>
      </c>
      <c r="CB201" s="62">
        <f t="shared" ca="1" si="241"/>
        <v>0</v>
      </c>
      <c r="CC201" s="8"/>
      <c r="CD201" s="61">
        <f t="shared" si="242"/>
        <v>0.79</v>
      </c>
      <c r="CE201" s="61">
        <f t="shared" si="243"/>
        <v>31.5</v>
      </c>
      <c r="CF201" s="61">
        <f t="shared" si="244"/>
        <v>15.852727272727272</v>
      </c>
      <c r="CG201" s="14"/>
      <c r="CH201" s="35">
        <f t="shared" si="227"/>
        <v>25.111806868764919</v>
      </c>
      <c r="CI201" s="15">
        <f t="shared" si="245"/>
        <v>25.929999999999836</v>
      </c>
      <c r="CJ201" s="35">
        <f t="shared" si="228"/>
        <v>26.748193131234753</v>
      </c>
      <c r="CL201" s="14"/>
      <c r="CM201" s="17">
        <f t="shared" si="229"/>
        <v>-23.770000000000003</v>
      </c>
      <c r="CN201" s="17">
        <f t="shared" si="230"/>
        <v>-11.490000000000002</v>
      </c>
      <c r="CO201" s="17">
        <f t="shared" si="231"/>
        <v>6.9399999999999977</v>
      </c>
      <c r="CP201" s="38">
        <f t="shared" si="246"/>
        <v>19.22</v>
      </c>
      <c r="CQ201" s="17">
        <f t="shared" si="232"/>
        <v>37.65</v>
      </c>
      <c r="CR201" s="17">
        <f t="shared" si="233"/>
        <v>49.93</v>
      </c>
      <c r="CS201" s="17">
        <f t="shared" si="234"/>
        <v>68.36</v>
      </c>
      <c r="CT201" s="2" cm="1">
        <f t="array" aca="1" ref="CT201" ca="1">MAX(_xlfn._xlws.FILTER(CM201:CS201,CM201:CS201&lt;BO201))</f>
        <v>19.22</v>
      </c>
      <c r="CU201" s="2" cm="1">
        <f t="array" aca="1" ref="CU201" ca="1">MIN(_xlfn._xlws.FILTER($CM201:$CS201,$CM201:$CS201&gt;BO201))</f>
        <v>37.65</v>
      </c>
      <c r="CV201" s="16">
        <f t="shared" ca="1" si="209"/>
        <v>0.95889698231009368</v>
      </c>
      <c r="CW201" s="20">
        <f t="shared" ca="1" si="210"/>
        <v>-0.47944849115504684</v>
      </c>
      <c r="CX201" s="20">
        <f t="shared" ca="1" si="211"/>
        <v>-0.31963232743669789</v>
      </c>
      <c r="CY201" s="20">
        <f t="shared" ca="1" si="212"/>
        <v>-0.19177939646201875</v>
      </c>
      <c r="CZ201" s="20">
        <f t="shared" ca="1" si="213"/>
        <v>-0.10654410914556596</v>
      </c>
      <c r="DA201" s="20">
        <f t="shared" ca="1" si="214"/>
        <v>-5.6405704841770217E-2</v>
      </c>
      <c r="DB201" s="20">
        <f t="shared" ca="1" si="215"/>
        <v>-2.9057484312427082E-2</v>
      </c>
      <c r="DC201" s="20">
        <f t="shared" ca="1" si="216"/>
        <v>-1.4752261266309134E-2</v>
      </c>
      <c r="DD201" s="21">
        <f t="shared" ca="1" si="217"/>
        <v>1.4752261266309134E-2</v>
      </c>
      <c r="DE201" s="21">
        <f t="shared" ca="1" si="218"/>
        <v>2.9057484312427082E-2</v>
      </c>
      <c r="DF201" s="21">
        <f t="shared" ca="1" si="219"/>
        <v>5.6405704841770217E-2</v>
      </c>
      <c r="DG201" s="21">
        <f t="shared" ca="1" si="220"/>
        <v>0.10654410914556596</v>
      </c>
      <c r="DH201" s="21">
        <f t="shared" ca="1" si="221"/>
        <v>0.19177939646201875</v>
      </c>
      <c r="DI201" s="21">
        <f t="shared" ca="1" si="222"/>
        <v>0.31963232743669789</v>
      </c>
      <c r="DJ201" s="21">
        <f t="shared" ca="1" si="223"/>
        <v>0.47944849115504684</v>
      </c>
      <c r="DL201" s="16" cm="1">
        <f t="array" aca="1" ref="DL201" ca="1">MAX(_xlfn._xlws.FILTER(CW201:DJ201,CW201:DJ201&lt;BU201))</f>
        <v>-2.9057484312427082E-2</v>
      </c>
      <c r="DM201" s="16" cm="1">
        <f t="array" aca="1" ref="DM201" ca="1">MIN(_xlfn._xlws.FILTER(CW201:DJ201,CW201:DJ201&gt;BU201))</f>
        <v>-1.4752261266309134E-2</v>
      </c>
      <c r="DN201" s="2" cm="1">
        <f t="array" aca="1" ref="DN201" ca="1">_FV(EC201,"Fechamento anterior",TRUE)</f>
        <v>25.8</v>
      </c>
      <c r="DO201" s="28">
        <f t="shared" ca="1" si="235"/>
        <v>0.86617437601736358</v>
      </c>
      <c r="DP201" s="15">
        <f t="shared" ca="1" si="224"/>
        <v>25.050316904739383</v>
      </c>
      <c r="DQ201" s="15">
        <f t="shared" ca="1" si="225"/>
        <v>25.419391659329225</v>
      </c>
      <c r="DR201" s="9"/>
      <c r="DS201" s="9"/>
      <c r="DT201" s="9"/>
      <c r="DU201" s="89">
        <v>1.4301262826310829E-2</v>
      </c>
      <c r="DV201" s="89">
        <f t="shared" ca="1" si="236"/>
        <v>1.4305223046117949E-2</v>
      </c>
      <c r="DW201" s="72">
        <f t="shared" ca="1" si="237"/>
        <v>-0.68443498071734588</v>
      </c>
      <c r="DX201" s="37"/>
      <c r="DY201" s="35">
        <f t="shared" si="247"/>
        <v>0.40909656561745927</v>
      </c>
      <c r="DZ201" s="56"/>
      <c r="EA201" s="56"/>
      <c r="EC201" s="2" t="e" vm="203">
        <v>#VALUE!</v>
      </c>
      <c r="EE201" s="10" cm="1">
        <f t="array" aca="1" ref="EE201" ca="1">_FV(EC201,"Ações em circulação",TRUE)</f>
        <v>9140940</v>
      </c>
      <c r="EF201" s="18">
        <f>VLOOKUP(BP201,Fundamentus!A:U,5,FALSE)</f>
        <v>0.85299999999999998</v>
      </c>
      <c r="EG201" s="2">
        <f t="shared" ca="1" si="238"/>
        <v>271870630.4806565</v>
      </c>
      <c r="EH201" s="17">
        <v>-30748568.307362251</v>
      </c>
      <c r="EI201" s="17">
        <f t="shared" ca="1" si="239"/>
        <v>-30748568.307362251</v>
      </c>
      <c r="EK201" s="16">
        <f t="shared" ca="1" si="226"/>
        <v>0</v>
      </c>
      <c r="EL201" s="32" t="str">
        <f>IF(VLOOKUP(BP201,Fundamentus!A:U,3,FALSE)&lt;15,"Bom",IF(VLOOKUP(BP201,Fundamentus!A:U,3,FALSE)&gt;15,"Ruim","n/a"))</f>
        <v>Bom</v>
      </c>
      <c r="EM201" s="28" t="str">
        <f>IF(VLOOKUP(BP201,Fundamentus!A:U,4,FALSE)&lt;1,"Baixo",IF(VLOOKUP(BP201,Fundamentus!A:U,4,FALSE)&lt;1.5,"Moderado",IF(VLOOKUP(BP201,Fundamentus!A:U,4,FALSE)&gt;1.5,"Alto","n/a")))</f>
        <v>Baixo</v>
      </c>
      <c r="EN201" s="17" t="str">
        <f>IF(VLOOKUP(BP201,Fundamentus!A:U,8,FALSE)&lt;0,"Risco elevado",IF(VLOOKUP(BP201,Fundamentus!A:U,8,FALSE)&lt;1,"Saudável",IF(VLOOKUP(BP201,Fundamentus!A:U,8,FALSE)&lt;3,"Estável",IF(VLOOKUP(BP201,Fundamentus!A:U,8,FALSE)&gt;3,"Alerta","n/a"))))</f>
        <v>Estável</v>
      </c>
      <c r="EO201" s="28" t="str">
        <f t="shared" si="240"/>
        <v>Ruim</v>
      </c>
      <c r="EP201" s="17" t="str">
        <f>IF(VLOOKUP(BP201,Fundamentus!A:U,12,FALSE)&lt;2,"Subvalorizada",IF(VLOOKUP(BP201,Fundamentus!A:U,12,FALSE)&lt;6,"Muita barata",IF(VLOOKUP(BP201,Fundamentus!A:U,12,FALSE)&lt;6,"Barata",IF(VLOOKUP(BP201,Fundamentus!A:U,12,FALSE)&lt;8,"Atrativa",IF(VLOOKUP(BP201,Fundamentus!A:U,12,FALSE)&gt;8,"Supervalorizada","n/a")))))</f>
        <v>Muita barata</v>
      </c>
      <c r="ER201" s="17" t="str">
        <f>IF(VLOOKUP(BP201,Fundamentus!A:U,17,FALSE)&lt;0.1,"Fraco retorno",IF(VLOOKUP(BP201,Fundamentus!A:U,17,FALSE)&gt;0.1,"Bom retorno","n/a"))</f>
        <v>Fraco retorno</v>
      </c>
      <c r="ES201" s="17" t="str">
        <f>IF(VLOOKUP(BP201,Fundamentus!A:U,16,FALSE)&lt;0.1,"Ineficiente",IF(VLOOKUP(BP201,Fundamentus!A:U,16,FALSE)&gt;0.1,"Eficiente","n/a"))</f>
        <v>Ineficiente</v>
      </c>
      <c r="ET201" s="33" t="str">
        <f>IF(VLOOKUP(BP201,Fundamentus!A:U,16,FALSE)&lt;0.1,"Oper. Ineficiente",IF(VLOOKUP(BP201,Fundamentus!A:U,16,FALSE)&gt;0.1,"Oper.Eficiente","n/a"))</f>
        <v>Oper. Ineficiente</v>
      </c>
      <c r="EU201" s="34">
        <f>VLOOKUP(BP201,Fundamentus!A:U,14,FALSE)</f>
        <v>-0.11310000000000001</v>
      </c>
      <c r="EV201" s="17" t="str">
        <f>IF(VLOOKUP(BP201,Fundamentus!A:U,21,FALSE)&lt;0,"Negativo",IF(VLOOKUP(BP201,Fundamentus!A:U,21,FALSE)&lt;0.05,"Fraco",IF(VLOOKUP(BP201,Fundamentus!A:U,21,FALSE)&lt;0.1,"Bom",IF(VLOOKUP(BP201,Fundamentus!A:U,21,FALSE)&gt;0.1,"Muito bom","n/a"))))</f>
        <v>Bom</v>
      </c>
      <c r="EX201" s="29" t="str">
        <f>IF(VLOOKUP(BP201,Fundamentus!A:U,15,FALSE)&gt;1,"Bom",IF(VLOOKUP(BP201,Fundamentus!A:U,15,FALSE)&lt;1,"Ruim","n/a"))</f>
        <v>Bom</v>
      </c>
      <c r="EY201" s="17" t="str">
        <f>IF(VLOOKUP(BP201,Fundamentus!A:U,20,FALSE)&lt;0.5,"Baixa",IF(VLOOKUP(BP201,Fundamentus!A:U,20,FALSE)&lt;1,"Moderada",IF(VLOOKUP(BP201,Fundamentus!A:U,20,FALSE)&lt;2,"Alerta",IF(VLOOKUP(BP201,Fundamentus!A:U,20,FALSE)&gt;2,"Alta","n/a"))))</f>
        <v>Baixa</v>
      </c>
      <c r="EZ201" s="10"/>
    </row>
    <row r="202" spans="1:156" s="2" customFormat="1" ht="11.25" x14ac:dyDescent="0.2">
      <c r="A202" s="4">
        <v>8.85</v>
      </c>
      <c r="B202" s="4">
        <v>9.06</v>
      </c>
      <c r="C202" s="4">
        <v>9.9499999999999993</v>
      </c>
      <c r="D202" s="4">
        <v>10</v>
      </c>
      <c r="E202" s="4">
        <v>9.57</v>
      </c>
      <c r="F202" s="4">
        <v>9.6999999999999993</v>
      </c>
      <c r="G202" s="4">
        <v>9.0399999999999991</v>
      </c>
      <c r="H202" s="4">
        <v>8.27</v>
      </c>
      <c r="I202" s="4">
        <v>8.26</v>
      </c>
      <c r="J202" s="4">
        <v>8.5299999999999994</v>
      </c>
      <c r="K202" s="4">
        <v>9.24</v>
      </c>
      <c r="L202" s="4">
        <v>8.8699999999999992</v>
      </c>
      <c r="M202" s="4">
        <v>8.83</v>
      </c>
      <c r="N202" s="4">
        <v>9.3000000000000007</v>
      </c>
      <c r="O202" s="4">
        <v>9.8000000000000007</v>
      </c>
      <c r="P202" s="4">
        <v>9.4600000000000009</v>
      </c>
      <c r="Q202" s="4">
        <v>9.2899999999999991</v>
      </c>
      <c r="R202" s="4">
        <v>9.5299999999999994</v>
      </c>
      <c r="S202" s="4">
        <v>9.61</v>
      </c>
      <c r="T202" s="4">
        <v>9.43</v>
      </c>
      <c r="U202" s="4">
        <v>8.8000000000000007</v>
      </c>
      <c r="V202" s="4">
        <v>8.7899999999999991</v>
      </c>
      <c r="W202" s="4">
        <v>8.66</v>
      </c>
      <c r="X202" s="4">
        <v>8.24</v>
      </c>
      <c r="Y202" s="4">
        <v>8.1300000000000008</v>
      </c>
      <c r="Z202" s="4">
        <v>7.94</v>
      </c>
      <c r="AA202" s="4">
        <v>7.79</v>
      </c>
      <c r="AB202" s="4">
        <v>7.84</v>
      </c>
      <c r="AC202" s="4">
        <v>7.73</v>
      </c>
      <c r="AD202" s="4">
        <v>7.72</v>
      </c>
      <c r="AE202" s="4">
        <v>7.16</v>
      </c>
      <c r="AF202" s="4">
        <v>6.91</v>
      </c>
      <c r="AG202" s="4">
        <v>6.81</v>
      </c>
      <c r="AH202" s="4">
        <v>6.1</v>
      </c>
      <c r="AI202" s="4">
        <v>5.99</v>
      </c>
      <c r="AJ202" s="4">
        <v>5.6</v>
      </c>
      <c r="AK202" s="4">
        <v>4.91</v>
      </c>
      <c r="AL202" s="4">
        <v>4.68</v>
      </c>
      <c r="AM202" s="4">
        <v>4.6900000000000004</v>
      </c>
      <c r="AN202" s="4">
        <v>4.76</v>
      </c>
      <c r="AO202" s="4">
        <v>4.3899999999999997</v>
      </c>
      <c r="AP202" s="4">
        <v>4.5</v>
      </c>
      <c r="AQ202" s="4">
        <v>4.33</v>
      </c>
      <c r="AR202" s="4">
        <v>3.55</v>
      </c>
      <c r="AS202" s="4">
        <v>3.81</v>
      </c>
      <c r="AT202" s="4">
        <v>3.8</v>
      </c>
      <c r="AU202" s="4">
        <v>3.8450000000000002</v>
      </c>
      <c r="AV202" s="4">
        <v>3.93</v>
      </c>
      <c r="AW202" s="4">
        <v>3.96</v>
      </c>
      <c r="AX202" s="4">
        <v>3.97</v>
      </c>
      <c r="AY202" s="12">
        <v>4.09</v>
      </c>
      <c r="AZ202" s="12">
        <v>4.2699999999999996</v>
      </c>
      <c r="BA202" s="12">
        <v>4.3600000000000003</v>
      </c>
      <c r="BB202" s="15">
        <v>4.4400000000000004</v>
      </c>
      <c r="BC202" s="52">
        <v>5.0199999999999996</v>
      </c>
      <c r="BD202" s="52">
        <v>4.82</v>
      </c>
      <c r="BE202" s="52">
        <v>4.75</v>
      </c>
      <c r="BF202" s="52">
        <v>4.76</v>
      </c>
      <c r="BG202" s="67">
        <v>5.0599999999999996</v>
      </c>
      <c r="BH202" s="52">
        <v>5.0599999999999996</v>
      </c>
      <c r="BI202" s="52">
        <v>5.04</v>
      </c>
      <c r="BJ202" s="52">
        <v>5.31</v>
      </c>
      <c r="BK202" s="52">
        <v>5.14</v>
      </c>
      <c r="BL202" s="52">
        <v>4.9800000000000004</v>
      </c>
      <c r="BM202" s="52">
        <v>4.84</v>
      </c>
      <c r="BN202" s="52">
        <v>4.5199999999999996</v>
      </c>
      <c r="BO202" s="52" cm="1">
        <f t="array" aca="1" ref="BO202" ca="1">_FV(EC202,"Preço")</f>
        <v>4.5199999999999996</v>
      </c>
      <c r="BP202" s="69" t="s">
        <v>251</v>
      </c>
      <c r="BQ202" s="36" cm="1">
        <f t="array" aca="1" ref="BQ202" ca="1">_FV(EC202,"Média de volume",TRUE)</f>
        <v>1575330</v>
      </c>
      <c r="BR202" s="36">
        <v>2214500</v>
      </c>
      <c r="BS202" s="36" cm="1">
        <f t="array" aca="1" ref="BS202" ca="1">_FV(EC202,"Volume")</f>
        <v>2214500</v>
      </c>
      <c r="BT202" s="24" cm="1">
        <f t="array" aca="1" ref="BT202" ca="1">_FV(EC202,"Beta")</f>
        <v>0.39860000000000001</v>
      </c>
      <c r="BU202" s="71" cm="1">
        <f t="array" aca="1" ref="BU202" ca="1">_FV(EC202,"Variação (%)",TRUE)</f>
        <v>-4.4050000000000001E-3</v>
      </c>
      <c r="BW202" s="17" cm="1">
        <f t="array" aca="1" ref="BW202" ca="1">_FV(EC202,"Baixo")</f>
        <v>4.47</v>
      </c>
      <c r="BX202" s="17" cm="1">
        <f t="array" aca="1" ref="BX202" ca="1">_FV(EC202,"Alto")</f>
        <v>4.5999999999999996</v>
      </c>
      <c r="BY202" s="24"/>
      <c r="BZ202" s="63">
        <f ca="1">SQRT(22.5*(BO202/VLOOKUP(BP202,Fundamentus!A:U,3,FALSE))*(BO202/VLOOKUP(BP202,Fundamentus!A:U,4,FALSE)))</f>
        <v>10.542908334172331</v>
      </c>
      <c r="CB202" s="62">
        <f t="shared" ca="1" si="241"/>
        <v>0</v>
      </c>
      <c r="CC202" s="8"/>
      <c r="CD202" s="61">
        <f t="shared" si="242"/>
        <v>3.55</v>
      </c>
      <c r="CE202" s="61">
        <f t="shared" si="243"/>
        <v>10</v>
      </c>
      <c r="CF202" s="61">
        <f t="shared" si="244"/>
        <v>6.6725000000000012</v>
      </c>
      <c r="CG202" s="14"/>
      <c r="CH202" s="35">
        <f t="shared" si="227"/>
        <v>3.8309044611572847</v>
      </c>
      <c r="CI202" s="15">
        <f t="shared" si="245"/>
        <v>4.3699999999998909</v>
      </c>
      <c r="CJ202" s="35">
        <f t="shared" si="228"/>
        <v>4.9090955388424975</v>
      </c>
      <c r="CL202" s="14"/>
      <c r="CM202" s="17">
        <f t="shared" si="229"/>
        <v>-4.4033333333333333</v>
      </c>
      <c r="CN202" s="17">
        <f t="shared" si="230"/>
        <v>-0.42666666666666675</v>
      </c>
      <c r="CO202" s="17">
        <f t="shared" si="231"/>
        <v>2.0466666666666669</v>
      </c>
      <c r="CP202" s="38">
        <f t="shared" si="246"/>
        <v>6.0233333333333334</v>
      </c>
      <c r="CQ202" s="17">
        <f t="shared" si="232"/>
        <v>8.4966666666666661</v>
      </c>
      <c r="CR202" s="17">
        <f t="shared" si="233"/>
        <v>12.473333333333333</v>
      </c>
      <c r="CS202" s="17">
        <f t="shared" si="234"/>
        <v>14.946666666666667</v>
      </c>
      <c r="CT202" s="2" cm="1">
        <f t="array" aca="1" ref="CT202" ca="1">MAX(_xlfn._xlws.FILTER(CM202:CS202,CM202:CS202&lt;BO202))</f>
        <v>2.0466666666666669</v>
      </c>
      <c r="CU202" s="2" cm="1">
        <f t="array" aca="1" ref="CU202" ca="1">MIN(_xlfn._xlws.FILTER($CM202:$CS202,$CM202:$CS202&gt;BO202))</f>
        <v>6.0233333333333334</v>
      </c>
      <c r="CV202" s="16">
        <f t="shared" ca="1" si="209"/>
        <v>1.9429967426710095</v>
      </c>
      <c r="CW202" s="20">
        <f t="shared" ca="1" si="210"/>
        <v>-0.97149837133550476</v>
      </c>
      <c r="CX202" s="20">
        <f t="shared" ca="1" si="211"/>
        <v>-0.64766558089033655</v>
      </c>
      <c r="CY202" s="20">
        <f t="shared" ca="1" si="212"/>
        <v>-0.38859934853420192</v>
      </c>
      <c r="CZ202" s="20">
        <f t="shared" ca="1" si="213"/>
        <v>-0.21588852696344552</v>
      </c>
      <c r="DA202" s="20">
        <f t="shared" ca="1" si="214"/>
        <v>-0.11429392603947115</v>
      </c>
      <c r="DB202" s="20">
        <f t="shared" ca="1" si="215"/>
        <v>-5.8878689171848776E-2</v>
      </c>
      <c r="DC202" s="20">
        <f t="shared" ca="1" si="216"/>
        <v>-2.9892257579553994E-2</v>
      </c>
      <c r="DD202" s="21">
        <f t="shared" ca="1" si="217"/>
        <v>2.9892257579553994E-2</v>
      </c>
      <c r="DE202" s="21">
        <f t="shared" ca="1" si="218"/>
        <v>5.8878689171848776E-2</v>
      </c>
      <c r="DF202" s="21">
        <f t="shared" ca="1" si="219"/>
        <v>0.11429392603947115</v>
      </c>
      <c r="DG202" s="21">
        <f t="shared" ca="1" si="220"/>
        <v>0.21588852696344552</v>
      </c>
      <c r="DH202" s="21">
        <f t="shared" ca="1" si="221"/>
        <v>0.38859934853420192</v>
      </c>
      <c r="DI202" s="21">
        <f t="shared" ca="1" si="222"/>
        <v>0.64766558089033655</v>
      </c>
      <c r="DJ202" s="21">
        <f t="shared" ca="1" si="223"/>
        <v>0.97149837133550476</v>
      </c>
      <c r="DL202" s="16" cm="1">
        <f t="array" aca="1" ref="DL202" ca="1">MAX(_xlfn._xlws.FILTER(CW202:DJ202,CW202:DJ202&lt;BU202))</f>
        <v>-2.9892257579553994E-2</v>
      </c>
      <c r="DM202" s="16" cm="1">
        <f t="array" aca="1" ref="DM202" ca="1">MIN(_xlfn._xlws.FILTER(CW202:DJ202,CW202:DJ202&gt;BU202))</f>
        <v>2.9892257579553994E-2</v>
      </c>
      <c r="DN202" s="2" cm="1">
        <f t="array" aca="1" ref="DN202" ca="1">_FV(EC202,"Fechamento anterior",TRUE)</f>
        <v>4.54</v>
      </c>
      <c r="DO202" s="28">
        <f t="shared" ca="1" si="235"/>
        <v>0.42631392373278587</v>
      </c>
      <c r="DP202" s="15">
        <f t="shared" ca="1" si="224"/>
        <v>4.4042891505888253</v>
      </c>
      <c r="DQ202" s="15">
        <f t="shared" ca="1" si="225"/>
        <v>4.6757108494111748</v>
      </c>
      <c r="DR202" s="9"/>
      <c r="DS202" s="9"/>
      <c r="DT202" s="9"/>
      <c r="DU202" s="89">
        <v>4.9989104380039222E-2</v>
      </c>
      <c r="DV202" s="89">
        <f t="shared" ca="1" si="236"/>
        <v>5.9784515159107987E-2</v>
      </c>
      <c r="DW202" s="72">
        <f t="shared" ca="1" si="237"/>
        <v>0.278243816155753</v>
      </c>
      <c r="DX202" s="37"/>
      <c r="DY202" s="35">
        <f t="shared" si="247"/>
        <v>0.26954776942130315</v>
      </c>
      <c r="DZ202" s="56"/>
      <c r="EA202" s="56"/>
      <c r="EC202" s="2" t="e" vm="204">
        <v>#VALUE!</v>
      </c>
      <c r="EE202" s="10" cm="1">
        <f t="array" aca="1" ref="EE202" ca="1">_FV(EC202,"Ações em circulação",TRUE)</f>
        <v>350000000</v>
      </c>
      <c r="EF202" s="18">
        <f>VLOOKUP(BP202,Fundamentus!A:U,5,FALSE)</f>
        <v>0.14299999999999999</v>
      </c>
      <c r="EG202" s="2">
        <f t="shared" ca="1" si="238"/>
        <v>11062937062.937061</v>
      </c>
      <c r="EH202" s="17">
        <v>188069930.06993005</v>
      </c>
      <c r="EI202" s="17">
        <f t="shared" ca="1" si="239"/>
        <v>188069930.06993005</v>
      </c>
      <c r="EK202" s="16">
        <f t="shared" ca="1" si="226"/>
        <v>0</v>
      </c>
      <c r="EL202" s="32" t="str">
        <f>IF(VLOOKUP(BP202,Fundamentus!A:U,3,FALSE)&lt;15,"Bom",IF(VLOOKUP(BP202,Fundamentus!A:U,3,FALSE)&gt;15,"Ruim","n/a"))</f>
        <v>Bom</v>
      </c>
      <c r="EM202" s="28" t="str">
        <f>IF(VLOOKUP(BP202,Fundamentus!A:U,4,FALSE)&lt;1,"Baixo",IF(VLOOKUP(BP202,Fundamentus!A:U,4,FALSE)&lt;1.5,"Moderado",IF(VLOOKUP(BP202,Fundamentus!A:U,4,FALSE)&gt;1.5,"Alto","n/a")))</f>
        <v>Baixo</v>
      </c>
      <c r="EN202" s="17" t="str">
        <f>IF(VLOOKUP(BP202,Fundamentus!A:U,8,FALSE)&lt;0,"Risco elevado",IF(VLOOKUP(BP202,Fundamentus!A:U,8,FALSE)&lt;1,"Saudável",IF(VLOOKUP(BP202,Fundamentus!A:U,8,FALSE)&lt;3,"Estável",IF(VLOOKUP(BP202,Fundamentus!A:U,8,FALSE)&gt;3,"Alerta","n/a"))))</f>
        <v>Saudável</v>
      </c>
      <c r="EO202" s="28" t="str">
        <f t="shared" si="240"/>
        <v>Ruim</v>
      </c>
      <c r="EP202" s="17" t="str">
        <f>IF(VLOOKUP(BP202,Fundamentus!A:U,12,FALSE)&lt;2,"Subvalorizada",IF(VLOOKUP(BP202,Fundamentus!A:U,12,FALSE)&lt;6,"Muita barata",IF(VLOOKUP(BP202,Fundamentus!A:U,12,FALSE)&lt;6,"Barata",IF(VLOOKUP(BP202,Fundamentus!A:U,12,FALSE)&lt;8,"Atrativa",IF(VLOOKUP(BP202,Fundamentus!A:U,12,FALSE)&gt;8,"Supervalorizada","n/a")))))</f>
        <v>Atrativa</v>
      </c>
      <c r="ER202" s="17" t="str">
        <f>IF(VLOOKUP(BP202,Fundamentus!A:U,17,FALSE)&lt;0.1,"Fraco retorno",IF(VLOOKUP(BP202,Fundamentus!A:U,17,FALSE)&gt;0.1,"Bom retorno","n/a"))</f>
        <v>Fraco retorno</v>
      </c>
      <c r="ES202" s="17" t="str">
        <f>IF(VLOOKUP(BP202,Fundamentus!A:U,16,FALSE)&lt;0.1,"Ineficiente",IF(VLOOKUP(BP202,Fundamentus!A:U,16,FALSE)&gt;0.1,"Eficiente","n/a"))</f>
        <v>Ineficiente</v>
      </c>
      <c r="ET202" s="33" t="str">
        <f>IF(VLOOKUP(BP202,Fundamentus!A:U,16,FALSE)&lt;0.1,"Oper. Ineficiente",IF(VLOOKUP(BP202,Fundamentus!A:U,16,FALSE)&gt;0.1,"Oper.Eficiente","n/a"))</f>
        <v>Oper. Ineficiente</v>
      </c>
      <c r="EU202" s="34">
        <f>VLOOKUP(BP202,Fundamentus!A:U,14,FALSE)</f>
        <v>1.7000000000000001E-2</v>
      </c>
      <c r="EV202" s="17" t="str">
        <f>IF(VLOOKUP(BP202,Fundamentus!A:U,21,FALSE)&lt;0,"Negativo",IF(VLOOKUP(BP202,Fundamentus!A:U,21,FALSE)&lt;0.05,"Fraco",IF(VLOOKUP(BP202,Fundamentus!A:U,21,FALSE)&lt;0.1,"Bom",IF(VLOOKUP(BP202,Fundamentus!A:U,21,FALSE)&gt;0.1,"Muito bom","n/a"))))</f>
        <v>Muito bom</v>
      </c>
      <c r="EX202" s="29" t="str">
        <f>IF(VLOOKUP(BP202,Fundamentus!A:U,15,FALSE)&gt;1,"Bom",IF(VLOOKUP(BP202,Fundamentus!A:U,15,FALSE)&lt;1,"Ruim","n/a"))</f>
        <v>Bom</v>
      </c>
      <c r="EY202" s="17" t="str">
        <f>IF(VLOOKUP(BP202,Fundamentus!A:U,20,FALSE)&lt;0.5,"Baixa",IF(VLOOKUP(BP202,Fundamentus!A:U,20,FALSE)&lt;1,"Moderada",IF(VLOOKUP(BP202,Fundamentus!A:U,20,FALSE)&lt;2,"Alerta",IF(VLOOKUP(BP202,Fundamentus!A:U,20,FALSE)&gt;2,"Alta","n/a"))))</f>
        <v>Alerta</v>
      </c>
      <c r="EZ202" s="10"/>
    </row>
    <row r="203" spans="1:156" s="2" customFormat="1" ht="11.25" x14ac:dyDescent="0.2">
      <c r="A203" s="4">
        <v>12.55</v>
      </c>
      <c r="B203" s="4">
        <v>11.92</v>
      </c>
      <c r="C203" s="4">
        <v>12.1</v>
      </c>
      <c r="D203" s="4">
        <v>12.2</v>
      </c>
      <c r="E203" s="4">
        <v>11.64</v>
      </c>
      <c r="F203" s="4">
        <v>11.31</v>
      </c>
      <c r="G203" s="4">
        <v>11.01</v>
      </c>
      <c r="H203" s="4">
        <v>11.5</v>
      </c>
      <c r="I203" s="4">
        <v>11.68</v>
      </c>
      <c r="J203" s="4">
        <v>12.45</v>
      </c>
      <c r="K203" s="4">
        <v>12.71</v>
      </c>
      <c r="L203" s="4">
        <v>12.19</v>
      </c>
      <c r="M203" s="4">
        <v>11.84</v>
      </c>
      <c r="N203" s="4">
        <v>11.34</v>
      </c>
      <c r="O203" s="4">
        <v>11.75</v>
      </c>
      <c r="P203" s="4">
        <v>11.04</v>
      </c>
      <c r="Q203" s="4">
        <v>11.28</v>
      </c>
      <c r="R203" s="4">
        <v>11.41</v>
      </c>
      <c r="S203" s="4">
        <v>11.23</v>
      </c>
      <c r="T203" s="4">
        <v>11.19</v>
      </c>
      <c r="U203" s="4">
        <v>11.08</v>
      </c>
      <c r="V203" s="4">
        <v>10.93</v>
      </c>
      <c r="W203" s="4">
        <v>10.64</v>
      </c>
      <c r="X203" s="4">
        <v>10.37</v>
      </c>
      <c r="Y203" s="4">
        <v>10.18</v>
      </c>
      <c r="Z203" s="4">
        <v>9.98</v>
      </c>
      <c r="AA203" s="4">
        <v>9.74</v>
      </c>
      <c r="AB203" s="4">
        <v>10.38</v>
      </c>
      <c r="AC203" s="4">
        <v>9.49</v>
      </c>
      <c r="AD203" s="4">
        <v>9.24</v>
      </c>
      <c r="AE203" s="4">
        <v>9.25</v>
      </c>
      <c r="AF203" s="4">
        <v>9.06</v>
      </c>
      <c r="AG203" s="4">
        <v>9.31</v>
      </c>
      <c r="AH203" s="4">
        <v>8.76</v>
      </c>
      <c r="AI203" s="4">
        <v>8.9700000000000006</v>
      </c>
      <c r="AJ203" s="4">
        <v>8.6199999999999992</v>
      </c>
      <c r="AK203" s="4">
        <v>8.33</v>
      </c>
      <c r="AL203" s="4">
        <v>8.2200000000000006</v>
      </c>
      <c r="AM203" s="4">
        <v>8.1199999999999992</v>
      </c>
      <c r="AN203" s="4">
        <v>8.18</v>
      </c>
      <c r="AO203" s="4">
        <v>8.19</v>
      </c>
      <c r="AP203" s="4">
        <v>8.6999999999999993</v>
      </c>
      <c r="AQ203" s="4">
        <v>8.11</v>
      </c>
      <c r="AR203" s="4">
        <v>8.0299999999999994</v>
      </c>
      <c r="AS203" s="4">
        <v>8.2200000000000006</v>
      </c>
      <c r="AT203" s="4">
        <v>8.01</v>
      </c>
      <c r="AU203" s="4">
        <v>8.06</v>
      </c>
      <c r="AV203" s="4">
        <v>8.3699999999999992</v>
      </c>
      <c r="AW203" s="4">
        <v>8.3800000000000008</v>
      </c>
      <c r="AX203" s="4">
        <v>8.59</v>
      </c>
      <c r="AY203" s="12">
        <v>9.1199999999999992</v>
      </c>
      <c r="AZ203" s="12">
        <v>8.74</v>
      </c>
      <c r="BA203" s="12">
        <v>8.5500000000000007</v>
      </c>
      <c r="BB203" s="15">
        <v>8</v>
      </c>
      <c r="BC203" s="52">
        <v>8.1300000000000008</v>
      </c>
      <c r="BD203" s="52">
        <v>8.0299999999999994</v>
      </c>
      <c r="BE203" s="52">
        <v>7.95</v>
      </c>
      <c r="BF203" s="52">
        <v>7.66</v>
      </c>
      <c r="BG203" s="67">
        <v>7.75</v>
      </c>
      <c r="BH203" s="52">
        <v>7.63</v>
      </c>
      <c r="BI203" s="52">
        <v>7.15</v>
      </c>
      <c r="BJ203" s="52">
        <v>7.35</v>
      </c>
      <c r="BK203" s="52">
        <v>7.12</v>
      </c>
      <c r="BL203" s="52">
        <v>6.75</v>
      </c>
      <c r="BM203" s="52">
        <v>6.22</v>
      </c>
      <c r="BN203" s="52">
        <v>6.48</v>
      </c>
      <c r="BO203" s="52" cm="1">
        <f t="array" aca="1" ref="BO203" ca="1">_FV(EC203,"Preço")</f>
        <v>6.48</v>
      </c>
      <c r="BP203" s="69" t="s">
        <v>199</v>
      </c>
      <c r="BQ203" s="36" cm="1">
        <f t="array" aca="1" ref="BQ203" ca="1">_FV(EC203,"Média de volume",TRUE)</f>
        <v>788660</v>
      </c>
      <c r="BR203" s="36">
        <v>37100</v>
      </c>
      <c r="BS203" s="36" cm="1">
        <f t="array" aca="1" ref="BS203" ca="1">_FV(EC203,"Volume")</f>
        <v>37100</v>
      </c>
      <c r="BT203" s="24" cm="1">
        <f t="array" aca="1" ref="BT203" ca="1">_FV(EC203,"Beta")</f>
        <v>1.2639</v>
      </c>
      <c r="BU203" s="71" cm="1">
        <f t="array" aca="1" ref="BU203" ca="1">_FV(EC203,"Variação (%)",TRUE)</f>
        <v>0.103918</v>
      </c>
      <c r="BW203" s="17" cm="1">
        <f t="array" aca="1" ref="BW203" ca="1">_FV(EC203,"Baixo")</f>
        <v>5.85</v>
      </c>
      <c r="BX203" s="17" cm="1">
        <f t="array" aca="1" ref="BX203" ca="1">_FV(EC203,"Alto")</f>
        <v>6.48</v>
      </c>
      <c r="BY203" s="24"/>
      <c r="BZ203" s="63">
        <f ca="1">SQRT(22.5*(BO203/VLOOKUP(BP203,Fundamentus!A:U,3,FALSE))*(BO203/VLOOKUP(BP203,Fundamentus!A:U,4,FALSE)))</f>
        <v>10.754291818072586</v>
      </c>
      <c r="CB203" s="62">
        <f t="shared" ca="1" si="241"/>
        <v>0</v>
      </c>
      <c r="CC203" s="8"/>
      <c r="CD203" s="61">
        <f t="shared" si="242"/>
        <v>6.22</v>
      </c>
      <c r="CE203" s="61">
        <f t="shared" si="243"/>
        <v>12.71</v>
      </c>
      <c r="CF203" s="61">
        <f t="shared" si="244"/>
        <v>9.5224242424242433</v>
      </c>
      <c r="CG203" s="14"/>
      <c r="CH203" s="35">
        <f t="shared" si="227"/>
        <v>5.2078467296178621</v>
      </c>
      <c r="CI203" s="15">
        <f t="shared" si="245"/>
        <v>6.0299999999999727</v>
      </c>
      <c r="CJ203" s="35">
        <f t="shared" si="228"/>
        <v>6.8521532703820833</v>
      </c>
      <c r="CL203" s="14"/>
      <c r="CM203" s="17">
        <f t="shared" si="229"/>
        <v>-2.2600000000000007</v>
      </c>
      <c r="CN203" s="17">
        <f t="shared" si="230"/>
        <v>1.9799999999999995</v>
      </c>
      <c r="CO203" s="17">
        <f t="shared" si="231"/>
        <v>4.2300000000000004</v>
      </c>
      <c r="CP203" s="38">
        <f t="shared" si="246"/>
        <v>8.4700000000000006</v>
      </c>
      <c r="CQ203" s="17">
        <f t="shared" si="232"/>
        <v>10.720000000000002</v>
      </c>
      <c r="CR203" s="17">
        <f t="shared" si="233"/>
        <v>14.96</v>
      </c>
      <c r="CS203" s="17">
        <f t="shared" si="234"/>
        <v>17.21</v>
      </c>
      <c r="CT203" s="2" cm="1">
        <f t="array" aca="1" ref="CT203" ca="1">MAX(_xlfn._xlws.FILTER(CM203:CS203,CM203:CS203&lt;BO203))</f>
        <v>4.2300000000000004</v>
      </c>
      <c r="CU203" s="2" cm="1">
        <f t="array" aca="1" ref="CU203" ca="1">MIN(_xlfn._xlws.FILTER($CM203:$CS203,$CM203:$CS203&gt;BO203))</f>
        <v>8.4700000000000006</v>
      </c>
      <c r="CV203" s="16">
        <f t="shared" ca="1" si="209"/>
        <v>1.0023640661938535</v>
      </c>
      <c r="CW203" s="20">
        <f t="shared" ca="1" si="210"/>
        <v>-0.50118203309692677</v>
      </c>
      <c r="CX203" s="20">
        <f t="shared" ca="1" si="211"/>
        <v>-0.33412135539795118</v>
      </c>
      <c r="CY203" s="20">
        <f t="shared" ca="1" si="212"/>
        <v>-0.2004728132387707</v>
      </c>
      <c r="CZ203" s="20">
        <f t="shared" ca="1" si="213"/>
        <v>-0.11137378513265039</v>
      </c>
      <c r="DA203" s="20">
        <f t="shared" ca="1" si="214"/>
        <v>-5.8962592129050209E-2</v>
      </c>
      <c r="DB203" s="20">
        <f t="shared" ca="1" si="215"/>
        <v>-3.0374668672541016E-2</v>
      </c>
      <c r="DC203" s="20">
        <f t="shared" ca="1" si="216"/>
        <v>-1.5420985633751593E-2</v>
      </c>
      <c r="DD203" s="21">
        <f t="shared" ca="1" si="217"/>
        <v>1.5420985633751593E-2</v>
      </c>
      <c r="DE203" s="21">
        <f t="shared" ca="1" si="218"/>
        <v>3.0374668672541016E-2</v>
      </c>
      <c r="DF203" s="21">
        <f t="shared" ca="1" si="219"/>
        <v>5.8962592129050209E-2</v>
      </c>
      <c r="DG203" s="21">
        <f t="shared" ca="1" si="220"/>
        <v>0.11137378513265039</v>
      </c>
      <c r="DH203" s="21">
        <f t="shared" ca="1" si="221"/>
        <v>0.2004728132387707</v>
      </c>
      <c r="DI203" s="21">
        <f t="shared" ca="1" si="222"/>
        <v>0.33412135539795118</v>
      </c>
      <c r="DJ203" s="21">
        <f t="shared" ca="1" si="223"/>
        <v>0.50118203309692677</v>
      </c>
      <c r="DL203" s="16" cm="1">
        <f t="array" aca="1" ref="DL203" ca="1">MAX(_xlfn._xlws.FILTER(CW203:DJ203,CW203:DJ203&lt;BU203))</f>
        <v>5.8962592129050209E-2</v>
      </c>
      <c r="DM203" s="16" cm="1">
        <f t="array" aca="1" ref="DM203" ca="1">MIN(_xlfn._xlws.FILTER(CW203:DJ203,CW203:DJ203&gt;BU203))</f>
        <v>0.11137378513265039</v>
      </c>
      <c r="DN203" s="2" cm="1">
        <f t="array" aca="1" ref="DN203" ca="1">_FV(EC203,"Fechamento anterior",TRUE)</f>
        <v>5.87</v>
      </c>
      <c r="DO203" s="28">
        <f t="shared" ca="1" si="235"/>
        <v>0.85774876651345267</v>
      </c>
      <c r="DP203" s="15">
        <f t="shared" ca="1" si="224"/>
        <v>6.2161104157975249</v>
      </c>
      <c r="DQ203" s="15">
        <f t="shared" ca="1" si="225"/>
        <v>6.5237641187286579</v>
      </c>
      <c r="DR203" s="9"/>
      <c r="DS203" s="9"/>
      <c r="DT203" s="9"/>
      <c r="DU203" s="89">
        <v>2.8955171812314672E-2</v>
      </c>
      <c r="DV203" s="89">
        <f t="shared" ca="1" si="236"/>
        <v>5.2411193003600184E-2</v>
      </c>
      <c r="DW203" s="72">
        <f t="shared" ca="1" si="237"/>
        <v>0.54734319768731454</v>
      </c>
      <c r="DX203" s="37"/>
      <c r="DY203" s="35">
        <f t="shared" si="247"/>
        <v>0.41107663519105525</v>
      </c>
      <c r="DZ203" s="56"/>
      <c r="EA203" s="56"/>
      <c r="EC203" s="2" t="e" vm="205">
        <v>#VALUE!</v>
      </c>
      <c r="EE203" s="10" cm="1">
        <f t="array" aca="1" ref="EE203" ca="1">_FV(EC203,"Ações em circulação",TRUE)</f>
        <v>139297900</v>
      </c>
      <c r="EF203" s="18">
        <f>VLOOKUP(BP203,Fundamentus!A:U,5,FALSE)</f>
        <v>0.56599999999999995</v>
      </c>
      <c r="EG203" s="2">
        <f t="shared" ca="1" si="238"/>
        <v>1594788678.4452298</v>
      </c>
      <c r="EH203" s="17">
        <v>77347250.904593647</v>
      </c>
      <c r="EI203" s="17">
        <f t="shared" ca="1" si="239"/>
        <v>77347250.904593647</v>
      </c>
      <c r="EK203" s="16">
        <f t="shared" ca="1" si="226"/>
        <v>0</v>
      </c>
      <c r="EL203" s="32" t="str">
        <f>IF(VLOOKUP(BP203,Fundamentus!A:U,3,FALSE)&lt;15,"Bom",IF(VLOOKUP(BP203,Fundamentus!A:U,3,FALSE)&gt;15,"Ruim","n/a"))</f>
        <v>Bom</v>
      </c>
      <c r="EM203" s="28" t="str">
        <f>IF(VLOOKUP(BP203,Fundamentus!A:U,4,FALSE)&lt;1,"Baixo",IF(VLOOKUP(BP203,Fundamentus!A:U,4,FALSE)&lt;1.5,"Moderado",IF(VLOOKUP(BP203,Fundamentus!A:U,4,FALSE)&gt;1.5,"Alto","n/a")))</f>
        <v>Baixo</v>
      </c>
      <c r="EN203" s="17" t="str">
        <f>IF(VLOOKUP(BP203,Fundamentus!A:U,8,FALSE)&lt;0,"Risco elevado",IF(VLOOKUP(BP203,Fundamentus!A:U,8,FALSE)&lt;1,"Saudável",IF(VLOOKUP(BP203,Fundamentus!A:U,8,FALSE)&lt;3,"Estável",IF(VLOOKUP(BP203,Fundamentus!A:U,8,FALSE)&gt;3,"Alerta","n/a"))))</f>
        <v>Estável</v>
      </c>
      <c r="EO203" s="28" t="str">
        <f t="shared" si="240"/>
        <v>Ruim</v>
      </c>
      <c r="EP203" s="17" t="str">
        <f>IF(VLOOKUP(BP203,Fundamentus!A:U,12,FALSE)&lt;2,"Subvalorizada",IF(VLOOKUP(BP203,Fundamentus!A:U,12,FALSE)&lt;6,"Muita barata",IF(VLOOKUP(BP203,Fundamentus!A:U,12,FALSE)&lt;6,"Barata",IF(VLOOKUP(BP203,Fundamentus!A:U,12,FALSE)&lt;8,"Atrativa",IF(VLOOKUP(BP203,Fundamentus!A:U,12,FALSE)&gt;8,"Supervalorizada","n/a")))))</f>
        <v>Supervalorizada</v>
      </c>
      <c r="ER203" s="17" t="str">
        <f>IF(VLOOKUP(BP203,Fundamentus!A:U,17,FALSE)&lt;0.1,"Fraco retorno",IF(VLOOKUP(BP203,Fundamentus!A:U,17,FALSE)&gt;0.1,"Bom retorno","n/a"))</f>
        <v>Fraco retorno</v>
      </c>
      <c r="ES203" s="17" t="str">
        <f>IF(VLOOKUP(BP203,Fundamentus!A:U,16,FALSE)&lt;0.1,"Ineficiente",IF(VLOOKUP(BP203,Fundamentus!A:U,16,FALSE)&gt;0.1,"Eficiente","n/a"))</f>
        <v>Ineficiente</v>
      </c>
      <c r="ET203" s="33" t="str">
        <f>IF(VLOOKUP(BP203,Fundamentus!A:U,16,FALSE)&lt;0.1,"Oper. Ineficiente",IF(VLOOKUP(BP203,Fundamentus!A:U,16,FALSE)&gt;0.1,"Oper.Eficiente","n/a"))</f>
        <v>Oper. Ineficiente</v>
      </c>
      <c r="EU203" s="34">
        <f>VLOOKUP(BP203,Fundamentus!A:U,14,FALSE)</f>
        <v>4.8500000000000001E-2</v>
      </c>
      <c r="EV203" s="17" t="str">
        <f>IF(VLOOKUP(BP203,Fundamentus!A:U,21,FALSE)&lt;0,"Negativo",IF(VLOOKUP(BP203,Fundamentus!A:U,21,FALSE)&lt;0.05,"Fraco",IF(VLOOKUP(BP203,Fundamentus!A:U,21,FALSE)&lt;0.1,"Bom",IF(VLOOKUP(BP203,Fundamentus!A:U,21,FALSE)&gt;0.1,"Muito bom","n/a"))))</f>
        <v>Negativo</v>
      </c>
      <c r="EX203" s="29" t="str">
        <f>IF(VLOOKUP(BP203,Fundamentus!A:U,15,FALSE)&gt;1,"Bom",IF(VLOOKUP(BP203,Fundamentus!A:U,15,FALSE)&lt;1,"Ruim","n/a"))</f>
        <v>Bom</v>
      </c>
      <c r="EY203" s="17" t="str">
        <f>IF(VLOOKUP(BP203,Fundamentus!A:U,20,FALSE)&lt;0.5,"Baixa",IF(VLOOKUP(BP203,Fundamentus!A:U,20,FALSE)&lt;1,"Moderada",IF(VLOOKUP(BP203,Fundamentus!A:U,20,FALSE)&lt;2,"Alerta",IF(VLOOKUP(BP203,Fundamentus!A:U,20,FALSE)&gt;2,"Alta","n/a"))))</f>
        <v>Moderada</v>
      </c>
      <c r="EZ203" s="10"/>
    </row>
    <row r="204" spans="1:156" s="5" customFormat="1" ht="11.25" x14ac:dyDescent="0.2">
      <c r="A204" s="4">
        <v>12.38</v>
      </c>
      <c r="B204" s="4">
        <v>12.24</v>
      </c>
      <c r="C204" s="4">
        <v>12.39</v>
      </c>
      <c r="D204" s="4">
        <v>12.26</v>
      </c>
      <c r="E204" s="4">
        <v>11.63</v>
      </c>
      <c r="F204" s="4">
        <v>12.22</v>
      </c>
      <c r="G204" s="4">
        <v>11.55</v>
      </c>
      <c r="H204" s="4">
        <v>11.32</v>
      </c>
      <c r="I204" s="4">
        <v>12</v>
      </c>
      <c r="J204" s="4">
        <v>13.2</v>
      </c>
      <c r="K204" s="4">
        <v>13.31</v>
      </c>
      <c r="L204" s="4">
        <v>13.7</v>
      </c>
      <c r="M204" s="4">
        <v>13.61</v>
      </c>
      <c r="N204" s="4">
        <v>15.42</v>
      </c>
      <c r="O204" s="4">
        <v>16.43</v>
      </c>
      <c r="P204" s="4">
        <v>16.95</v>
      </c>
      <c r="Q204" s="4">
        <v>17.600000000000001</v>
      </c>
      <c r="R204" s="4">
        <v>17.29</v>
      </c>
      <c r="S204" s="4">
        <v>18.170000000000002</v>
      </c>
      <c r="T204" s="4">
        <v>17.89</v>
      </c>
      <c r="U204" s="4">
        <v>16.82</v>
      </c>
      <c r="V204" s="4">
        <v>16.78</v>
      </c>
      <c r="W204" s="4">
        <v>15</v>
      </c>
      <c r="X204" s="4">
        <v>14.8</v>
      </c>
      <c r="Y204" s="4">
        <v>13.72</v>
      </c>
      <c r="Z204" s="4">
        <v>13.95</v>
      </c>
      <c r="AA204" s="4">
        <v>13.64</v>
      </c>
      <c r="AB204" s="4">
        <v>13.6</v>
      </c>
      <c r="AC204" s="4">
        <v>13.24</v>
      </c>
      <c r="AD204" s="4">
        <v>13.45</v>
      </c>
      <c r="AE204" s="4">
        <v>12.31</v>
      </c>
      <c r="AF204" s="4">
        <v>11.06</v>
      </c>
      <c r="AG204" s="4">
        <v>10.95</v>
      </c>
      <c r="AH204" s="4">
        <v>11</v>
      </c>
      <c r="AI204" s="4">
        <v>10.82</v>
      </c>
      <c r="AJ204" s="4">
        <v>10.49</v>
      </c>
      <c r="AK204" s="4">
        <v>10.9</v>
      </c>
      <c r="AL204" s="4">
        <v>10.88</v>
      </c>
      <c r="AM204" s="4">
        <v>10.64</v>
      </c>
      <c r="AN204" s="4">
        <v>11.54</v>
      </c>
      <c r="AO204" s="4">
        <v>10.6</v>
      </c>
      <c r="AP204" s="4">
        <v>10.87</v>
      </c>
      <c r="AQ204" s="4">
        <v>10.57</v>
      </c>
      <c r="AR204" s="4">
        <v>9.84</v>
      </c>
      <c r="AS204" s="4">
        <v>10.86</v>
      </c>
      <c r="AT204" s="4">
        <v>11.19</v>
      </c>
      <c r="AU204" s="4">
        <v>11.76</v>
      </c>
      <c r="AV204" s="4">
        <v>11.95</v>
      </c>
      <c r="AW204" s="4">
        <v>11.73</v>
      </c>
      <c r="AX204" s="4">
        <v>11.49</v>
      </c>
      <c r="AY204" s="12">
        <v>11.27</v>
      </c>
      <c r="AZ204" s="12">
        <v>11.07</v>
      </c>
      <c r="BA204" s="12">
        <v>10.61</v>
      </c>
      <c r="BB204" s="15">
        <v>11.43</v>
      </c>
      <c r="BC204" s="52">
        <v>10.98</v>
      </c>
      <c r="BD204" s="52">
        <v>11.04</v>
      </c>
      <c r="BE204" s="52">
        <v>12.29</v>
      </c>
      <c r="BF204" s="52">
        <v>11.47</v>
      </c>
      <c r="BG204" s="67">
        <v>11.8</v>
      </c>
      <c r="BH204" s="52">
        <v>11.6</v>
      </c>
      <c r="BI204" s="52">
        <v>11.79</v>
      </c>
      <c r="BJ204" s="52">
        <v>12.65</v>
      </c>
      <c r="BK204" s="52">
        <v>12</v>
      </c>
      <c r="BL204" s="52">
        <v>11.92</v>
      </c>
      <c r="BM204" s="52">
        <v>12.2</v>
      </c>
      <c r="BN204" s="52">
        <v>10.96</v>
      </c>
      <c r="BO204" s="52" cm="1">
        <f t="array" aca="1" ref="BO204" ca="1">_FV(EC204,"Preço")</f>
        <v>10.96</v>
      </c>
      <c r="BP204" s="69" t="s">
        <v>200</v>
      </c>
      <c r="BQ204" s="36" cm="1">
        <f t="array" aca="1" ref="BQ204" ca="1">_FV(EC204,"Média de volume",TRUE)</f>
        <v>2306860</v>
      </c>
      <c r="BR204" s="36">
        <v>1654000</v>
      </c>
      <c r="BS204" s="36" cm="1">
        <f t="array" aca="1" ref="BS204" ca="1">_FV(EC204,"Volume")</f>
        <v>1654000</v>
      </c>
      <c r="BT204" s="24" cm="1">
        <f t="array" aca="1" ref="BT204" ca="1">_FV(EC204,"Beta")</f>
        <v>2.2343999999999999</v>
      </c>
      <c r="BU204" s="71" cm="1">
        <f t="array" aca="1" ref="BU204" ca="1">_FV(EC204,"Variação (%)",TRUE)</f>
        <v>-2.7300000000000002E-3</v>
      </c>
      <c r="BW204" s="17" cm="1">
        <f t="array" aca="1" ref="BW204" ca="1">_FV(EC204,"Baixo")</f>
        <v>10.92</v>
      </c>
      <c r="BX204" s="17" cm="1">
        <f t="array" aca="1" ref="BX204" ca="1">_FV(EC204,"Alto")</f>
        <v>11.41</v>
      </c>
      <c r="BY204" s="24"/>
      <c r="BZ204" s="63">
        <f ca="1">SQRT(22.5*(BO204/VLOOKUP(BP204,Fundamentus!A:U,3,FALSE))*(BO204/VLOOKUP(BP204,Fundamentus!A:U,4,FALSE)))</f>
        <v>22.487236313881969</v>
      </c>
      <c r="CB204" s="62">
        <f t="shared" ca="1" si="241"/>
        <v>0</v>
      </c>
      <c r="CC204" s="8"/>
      <c r="CD204" s="61">
        <f t="shared" si="242"/>
        <v>9.84</v>
      </c>
      <c r="CE204" s="61">
        <f t="shared" si="243"/>
        <v>18.170000000000002</v>
      </c>
      <c r="CF204" s="61">
        <f t="shared" si="244"/>
        <v>12.62257575757576</v>
      </c>
      <c r="CG204" s="14"/>
      <c r="CH204" s="35">
        <f t="shared" si="227"/>
        <v>9.9515163510452123</v>
      </c>
      <c r="CI204" s="15">
        <f t="shared" si="245"/>
        <v>11.059999999999945</v>
      </c>
      <c r="CJ204" s="35">
        <f t="shared" si="228"/>
        <v>12.168483648954679</v>
      </c>
      <c r="CL204" s="14"/>
      <c r="CM204" s="17">
        <f t="shared" si="229"/>
        <v>-0.52000000000000313</v>
      </c>
      <c r="CN204" s="17">
        <f t="shared" si="230"/>
        <v>4.6599999999999984</v>
      </c>
      <c r="CO204" s="17">
        <f t="shared" si="231"/>
        <v>7.8099999999999987</v>
      </c>
      <c r="CP204" s="38">
        <f t="shared" si="246"/>
        <v>12.99</v>
      </c>
      <c r="CQ204" s="17">
        <f t="shared" si="232"/>
        <v>16.14</v>
      </c>
      <c r="CR204" s="17">
        <f t="shared" si="233"/>
        <v>21.32</v>
      </c>
      <c r="CS204" s="17">
        <f t="shared" si="234"/>
        <v>24.470000000000002</v>
      </c>
      <c r="CT204" s="2" cm="1">
        <f t="array" aca="1" ref="CT204" ca="1">MAX(_xlfn._xlws.FILTER(CM204:CS204,CM204:CS204&lt;BO204))</f>
        <v>7.8099999999999987</v>
      </c>
      <c r="CU204" s="2" cm="1">
        <f t="array" aca="1" ref="CU204" ca="1">MIN(_xlfn._xlws.FILTER($CM204:$CS204,$CM204:$CS204&gt;BO204))</f>
        <v>12.99</v>
      </c>
      <c r="CV204" s="16">
        <f t="shared" ca="1" si="209"/>
        <v>0.66325224071702982</v>
      </c>
      <c r="CW204" s="20">
        <f t="shared" ca="1" si="210"/>
        <v>-0.33162612035851491</v>
      </c>
      <c r="CX204" s="20">
        <f t="shared" ca="1" si="211"/>
        <v>-0.22108408023900994</v>
      </c>
      <c r="CY204" s="20">
        <f t="shared" ca="1" si="212"/>
        <v>-0.13265044814340596</v>
      </c>
      <c r="CZ204" s="20">
        <f t="shared" ca="1" si="213"/>
        <v>-7.3694693413003318E-2</v>
      </c>
      <c r="DA204" s="20">
        <f t="shared" ca="1" si="214"/>
        <v>-3.9014837689237046E-2</v>
      </c>
      <c r="DB204" s="20">
        <f t="shared" ca="1" si="215"/>
        <v>-2.0098552749000905E-2</v>
      </c>
      <c r="DC204" s="20">
        <f t="shared" ca="1" si="216"/>
        <v>-1.0203880626415843E-2</v>
      </c>
      <c r="DD204" s="21">
        <f t="shared" ca="1" si="217"/>
        <v>1.0203880626415843E-2</v>
      </c>
      <c r="DE204" s="21">
        <f t="shared" ca="1" si="218"/>
        <v>2.0098552749000905E-2</v>
      </c>
      <c r="DF204" s="21">
        <f t="shared" ca="1" si="219"/>
        <v>3.9014837689237046E-2</v>
      </c>
      <c r="DG204" s="21">
        <f t="shared" ca="1" si="220"/>
        <v>7.3694693413003318E-2</v>
      </c>
      <c r="DH204" s="21">
        <f t="shared" ca="1" si="221"/>
        <v>0.13265044814340596</v>
      </c>
      <c r="DI204" s="21">
        <f t="shared" ca="1" si="222"/>
        <v>0.22108408023900994</v>
      </c>
      <c r="DJ204" s="21">
        <f t="shared" ca="1" si="223"/>
        <v>0.33162612035851491</v>
      </c>
      <c r="DL204" s="16" cm="1">
        <f t="array" aca="1" ref="DL204" ca="1">MAX(_xlfn._xlws.FILTER(CW204:DJ204,CW204:DJ204&lt;BU204))</f>
        <v>-1.0203880626415843E-2</v>
      </c>
      <c r="DM204" s="16" cm="1">
        <f t="array" aca="1" ref="DM204" ca="1">MIN(_xlfn._xlws.FILTER(CW204:DJ204,CW204:DJ204&gt;BU204))</f>
        <v>1.0203880626415843E-2</v>
      </c>
      <c r="DN204" s="2" cm="1">
        <f t="array" aca="1" ref="DN204" ca="1">_FV(EC204,"Fechamento anterior",TRUE)</f>
        <v>10.99</v>
      </c>
      <c r="DO204" s="28">
        <f t="shared" ca="1" si="235"/>
        <v>0.36623940331856886</v>
      </c>
      <c r="DP204" s="15">
        <f t="shared" ca="1" si="224"/>
        <v>10.87785935191569</v>
      </c>
      <c r="DQ204" s="15">
        <f t="shared" ca="1" si="225"/>
        <v>11.10214064808431</v>
      </c>
      <c r="DR204" s="9"/>
      <c r="DS204" s="9"/>
      <c r="DT204" s="9"/>
      <c r="DU204" s="89">
        <v>1.7696859353664093E-2</v>
      </c>
      <c r="DV204" s="89">
        <f t="shared" ca="1" si="236"/>
        <v>2.0407761252831686E-2</v>
      </c>
      <c r="DW204" s="72">
        <f t="shared" ca="1" si="237"/>
        <v>-9.0213328896859762E-2</v>
      </c>
      <c r="DX204" s="37"/>
      <c r="DY204" s="35">
        <f t="shared" si="247"/>
        <v>0.55424182447736636</v>
      </c>
      <c r="DZ204" s="56"/>
      <c r="EA204" s="56"/>
      <c r="EC204" s="5" t="e" vm="206">
        <v>#VALUE!</v>
      </c>
      <c r="EE204" s="10" cm="1">
        <f t="array" aca="1" ref="EE204" ca="1">_FV(EC204,"Ações em circulação",TRUE)</f>
        <v>244013000</v>
      </c>
      <c r="EF204" s="18">
        <f>VLOOKUP(BP204,Fundamentus!A:U,5,FALSE)</f>
        <v>0.41099999999999998</v>
      </c>
      <c r="EG204" s="2">
        <f t="shared" ca="1" si="238"/>
        <v>6507013333.333334</v>
      </c>
      <c r="EH204" s="17">
        <v>510149845.33333337</v>
      </c>
      <c r="EI204" s="17">
        <f t="shared" ca="1" si="239"/>
        <v>510149845.33333337</v>
      </c>
      <c r="EJ204" s="2"/>
      <c r="EK204" s="16">
        <f t="shared" ca="1" si="226"/>
        <v>0</v>
      </c>
      <c r="EL204" s="32" t="str">
        <f>IF(VLOOKUP(BP204,Fundamentus!A:U,3,FALSE)&lt;15,"Bom",IF(VLOOKUP(BP204,Fundamentus!A:U,3,FALSE)&gt;15,"Ruim","n/a"))</f>
        <v>Bom</v>
      </c>
      <c r="EM204" s="28" t="str">
        <f>IF(VLOOKUP(BP204,Fundamentus!A:U,4,FALSE)&lt;1,"Baixo",IF(VLOOKUP(BP204,Fundamentus!A:U,4,FALSE)&lt;1.5,"Moderado",IF(VLOOKUP(BP204,Fundamentus!A:U,4,FALSE)&gt;1.5,"Alto","n/a")))</f>
        <v>Moderado</v>
      </c>
      <c r="EN204" s="17" t="str">
        <f>IF(VLOOKUP(BP204,Fundamentus!A:U,8,FALSE)&lt;0,"Risco elevado",IF(VLOOKUP(BP204,Fundamentus!A:U,8,FALSE)&lt;1,"Saudável",IF(VLOOKUP(BP204,Fundamentus!A:U,8,FALSE)&lt;3,"Estável",IF(VLOOKUP(BP204,Fundamentus!A:U,8,FALSE)&gt;3,"Alerta","n/a"))))</f>
        <v>Estável</v>
      </c>
      <c r="EO204" s="28" t="str">
        <f t="shared" si="240"/>
        <v>Ruim</v>
      </c>
      <c r="EP204" s="17" t="str">
        <f>IF(VLOOKUP(BP204,Fundamentus!A:U,12,FALSE)&lt;2,"Subvalorizada",IF(VLOOKUP(BP204,Fundamentus!A:U,12,FALSE)&lt;6,"Muita barata",IF(VLOOKUP(BP204,Fundamentus!A:U,12,FALSE)&lt;6,"Barata",IF(VLOOKUP(BP204,Fundamentus!A:U,12,FALSE)&lt;8,"Atrativa",IF(VLOOKUP(BP204,Fundamentus!A:U,12,FALSE)&gt;8,"Supervalorizada","n/a")))))</f>
        <v>Muita barata</v>
      </c>
      <c r="EQ204" s="2"/>
      <c r="ER204" s="17" t="str">
        <f>IF(VLOOKUP(BP204,Fundamentus!A:U,17,FALSE)&lt;0.1,"Fraco retorno",IF(VLOOKUP(BP204,Fundamentus!A:U,17,FALSE)&gt;0.1,"Bom retorno","n/a"))</f>
        <v>Bom retorno</v>
      </c>
      <c r="ES204" s="17" t="str">
        <f>IF(VLOOKUP(BP204,Fundamentus!A:U,16,FALSE)&lt;0.1,"Ineficiente",IF(VLOOKUP(BP204,Fundamentus!A:U,16,FALSE)&gt;0.1,"Eficiente","n/a"))</f>
        <v>Ineficiente</v>
      </c>
      <c r="ET204" s="33" t="str">
        <f>IF(VLOOKUP(BP204,Fundamentus!A:U,16,FALSE)&lt;0.1,"Oper. Ineficiente",IF(VLOOKUP(BP204,Fundamentus!A:U,16,FALSE)&gt;0.1,"Oper.Eficiente","n/a"))</f>
        <v>Oper. Ineficiente</v>
      </c>
      <c r="EU204" s="34">
        <f>VLOOKUP(BP204,Fundamentus!A:U,14,FALSE)</f>
        <v>7.8399999999999997E-2</v>
      </c>
      <c r="EV204" s="17" t="str">
        <f>IF(VLOOKUP(BP204,Fundamentus!A:U,21,FALSE)&lt;0,"Negativo",IF(VLOOKUP(BP204,Fundamentus!A:U,21,FALSE)&lt;0.05,"Fraco",IF(VLOOKUP(BP204,Fundamentus!A:U,21,FALSE)&lt;0.1,"Bom",IF(VLOOKUP(BP204,Fundamentus!A:U,21,FALSE)&gt;0.1,"Muito bom","n/a"))))</f>
        <v>Muito bom</v>
      </c>
      <c r="EX204" s="29" t="str">
        <f>IF(VLOOKUP(BP204,Fundamentus!A:U,15,FALSE)&gt;1,"Bom",IF(VLOOKUP(BP204,Fundamentus!A:U,15,FALSE)&lt;1,"Ruim","n/a"))</f>
        <v>Bom</v>
      </c>
      <c r="EY204" s="17" t="str">
        <f>IF(VLOOKUP(BP204,Fundamentus!A:U,20,FALSE)&lt;0.5,"Baixa",IF(VLOOKUP(BP204,Fundamentus!A:U,20,FALSE)&lt;1,"Moderada",IF(VLOOKUP(BP204,Fundamentus!A:U,20,FALSE)&lt;2,"Alerta",IF(VLOOKUP(BP204,Fundamentus!A:U,20,FALSE)&gt;2,"Alta","n/a"))))</f>
        <v>Moderada</v>
      </c>
      <c r="EZ204" s="10"/>
    </row>
    <row r="205" spans="1:156" s="2" customFormat="1" ht="11.25" x14ac:dyDescent="0.2">
      <c r="A205" s="4">
        <v>4.42</v>
      </c>
      <c r="B205" s="4">
        <v>4.54</v>
      </c>
      <c r="C205" s="4">
        <v>4.59</v>
      </c>
      <c r="D205" s="4">
        <v>4.24</v>
      </c>
      <c r="E205" s="4">
        <v>4.1399999999999997</v>
      </c>
      <c r="F205" s="4">
        <v>3.95</v>
      </c>
      <c r="G205" s="4">
        <v>4.43</v>
      </c>
      <c r="H205" s="4">
        <v>4.7699999999999996</v>
      </c>
      <c r="I205" s="4">
        <v>4.53</v>
      </c>
      <c r="J205" s="4">
        <v>5.21</v>
      </c>
      <c r="K205" s="4">
        <v>5.97</v>
      </c>
      <c r="L205" s="4">
        <v>6.06</v>
      </c>
      <c r="M205" s="4">
        <v>5.29</v>
      </c>
      <c r="N205" s="4">
        <v>5.27</v>
      </c>
      <c r="O205" s="4">
        <v>5.54</v>
      </c>
      <c r="P205" s="4">
        <v>5.91</v>
      </c>
      <c r="Q205" s="4">
        <v>5.75</v>
      </c>
      <c r="R205" s="4">
        <v>5.43</v>
      </c>
      <c r="S205" s="4">
        <v>5.16</v>
      </c>
      <c r="T205" s="4">
        <v>5.08</v>
      </c>
      <c r="U205" s="4">
        <v>4.92</v>
      </c>
      <c r="V205" s="4">
        <v>5.07</v>
      </c>
      <c r="W205" s="4">
        <v>4.8499999999999996</v>
      </c>
      <c r="X205" s="4">
        <v>5.46</v>
      </c>
      <c r="Y205" s="4">
        <v>5.46</v>
      </c>
      <c r="Z205" s="4">
        <v>5.89</v>
      </c>
      <c r="AA205" s="4">
        <v>5.25</v>
      </c>
      <c r="AB205" s="4">
        <v>5.24</v>
      </c>
      <c r="AC205" s="4">
        <v>5.6</v>
      </c>
      <c r="AD205" s="4">
        <v>5.74</v>
      </c>
      <c r="AE205" s="4">
        <v>5.9</v>
      </c>
      <c r="AF205" s="4">
        <v>5.5</v>
      </c>
      <c r="AG205" s="4">
        <v>5.49</v>
      </c>
      <c r="AH205" s="4">
        <v>5.39</v>
      </c>
      <c r="AI205" s="4">
        <v>5.46</v>
      </c>
      <c r="AJ205" s="4">
        <v>5.37</v>
      </c>
      <c r="AK205" s="4">
        <v>5.67</v>
      </c>
      <c r="AL205" s="4">
        <v>5.42</v>
      </c>
      <c r="AM205" s="4">
        <v>5.55</v>
      </c>
      <c r="AN205" s="4">
        <v>5.34</v>
      </c>
      <c r="AO205" s="4">
        <v>5.49</v>
      </c>
      <c r="AP205" s="4">
        <v>5.44</v>
      </c>
      <c r="AQ205" s="4">
        <v>5.83</v>
      </c>
      <c r="AR205" s="4">
        <v>5.26</v>
      </c>
      <c r="AS205" s="4">
        <v>5.47</v>
      </c>
      <c r="AT205" s="4">
        <v>5.31</v>
      </c>
      <c r="AU205" s="4">
        <v>5.46</v>
      </c>
      <c r="AV205" s="4">
        <v>5.66</v>
      </c>
      <c r="AW205" s="4">
        <v>5.95</v>
      </c>
      <c r="AX205" s="4">
        <v>5.87</v>
      </c>
      <c r="AY205" s="12">
        <v>6.21</v>
      </c>
      <c r="AZ205" s="12">
        <v>6.11</v>
      </c>
      <c r="BA205" s="12">
        <v>5.82</v>
      </c>
      <c r="BB205" s="15">
        <v>5.76</v>
      </c>
      <c r="BC205" s="52">
        <v>5.99</v>
      </c>
      <c r="BD205" s="52">
        <v>6.21</v>
      </c>
      <c r="BE205" s="52">
        <v>6.39</v>
      </c>
      <c r="BF205" s="52">
        <v>6.55</v>
      </c>
      <c r="BG205" s="67">
        <v>6.87</v>
      </c>
      <c r="BH205" s="52">
        <v>6.8</v>
      </c>
      <c r="BI205" s="52">
        <v>7.13</v>
      </c>
      <c r="BJ205" s="52">
        <v>6.6</v>
      </c>
      <c r="BK205" s="52">
        <v>6.36</v>
      </c>
      <c r="BL205" s="52">
        <v>6.36</v>
      </c>
      <c r="BM205" s="52">
        <v>6.21</v>
      </c>
      <c r="BN205" s="52">
        <v>6.02</v>
      </c>
      <c r="BO205" s="52" cm="1">
        <f t="array" aca="1" ref="BO205" ca="1">_FV(EC205,"Preço")</f>
        <v>6.02</v>
      </c>
      <c r="BP205" s="70" t="s">
        <v>201</v>
      </c>
      <c r="BQ205" s="36" cm="1">
        <f t="array" aca="1" ref="BQ205" ca="1">_FV(EC205,"Média de volume",TRUE)</f>
        <v>45330</v>
      </c>
      <c r="BR205" s="36">
        <v>69400</v>
      </c>
      <c r="BS205" s="36" cm="1">
        <f t="array" aca="1" ref="BS205" ca="1">_FV(EC205,"Volume")</f>
        <v>69400</v>
      </c>
      <c r="BT205" s="24" cm="1">
        <f t="array" aca="1" ref="BT205" ca="1">_FV(EC205,"Beta")</f>
        <v>0.88660000000000005</v>
      </c>
      <c r="BU205" s="71" cm="1">
        <f t="array" aca="1" ref="BU205" ca="1">_FV(EC205,"Variação (%)",TRUE)</f>
        <v>-9.868E-3</v>
      </c>
      <c r="BW205" s="17" cm="1">
        <f t="array" aca="1" ref="BW205" ca="1">_FV(EC205,"Baixo")</f>
        <v>5.95</v>
      </c>
      <c r="BX205" s="17" cm="1">
        <f t="array" aca="1" ref="BX205" ca="1">_FV(EC205,"Alto")</f>
        <v>6.14</v>
      </c>
      <c r="BY205" s="24"/>
      <c r="BZ205" s="63">
        <f ca="1">SQRT(22.5*(BO205/VLOOKUP(BP205,Fundamentus!A:U,3,FALSE))*(BO205/VLOOKUP(BP205,Fundamentus!A:U,4,FALSE)))</f>
        <v>11.752075582117605</v>
      </c>
      <c r="CB205" s="62">
        <f t="shared" ca="1" si="241"/>
        <v>0</v>
      </c>
      <c r="CC205" s="8"/>
      <c r="CD205" s="61">
        <f t="shared" si="242"/>
        <v>3.95</v>
      </c>
      <c r="CE205" s="61">
        <f t="shared" si="243"/>
        <v>7.13</v>
      </c>
      <c r="CF205" s="61">
        <f t="shared" si="244"/>
        <v>5.5451515151515149</v>
      </c>
      <c r="CG205" s="14"/>
      <c r="CH205" s="35">
        <f t="shared" si="227"/>
        <v>5.5621684443517632</v>
      </c>
      <c r="CI205" s="15">
        <f t="shared" si="245"/>
        <v>5.9449999999999363</v>
      </c>
      <c r="CJ205" s="35">
        <f t="shared" si="228"/>
        <v>6.3278315556481095</v>
      </c>
      <c r="CL205" s="14"/>
      <c r="CM205" s="17">
        <f t="shared" si="229"/>
        <v>1.0900000000000007</v>
      </c>
      <c r="CN205" s="17">
        <f t="shared" si="230"/>
        <v>2.5200000000000005</v>
      </c>
      <c r="CO205" s="17">
        <f t="shared" si="231"/>
        <v>4.2700000000000005</v>
      </c>
      <c r="CP205" s="38">
        <f t="shared" si="246"/>
        <v>5.7</v>
      </c>
      <c r="CQ205" s="17">
        <f t="shared" si="232"/>
        <v>7.45</v>
      </c>
      <c r="CR205" s="17">
        <f t="shared" si="233"/>
        <v>8.879999999999999</v>
      </c>
      <c r="CS205" s="17">
        <f t="shared" si="234"/>
        <v>10.629999999999999</v>
      </c>
      <c r="CT205" s="2" cm="1">
        <f t="array" aca="1" ref="CT205" ca="1">MAX(_xlfn._xlws.FILTER(CM205:CS205,CM205:CS205&lt;BO205))</f>
        <v>5.7</v>
      </c>
      <c r="CU205" s="2" cm="1">
        <f t="array" aca="1" ref="CU205" ca="1">MIN(_xlfn._xlws.FILTER($CM205:$CS205,$CM205:$CS205&gt;BO205))</f>
        <v>7.45</v>
      </c>
      <c r="CV205" s="16">
        <f t="shared" ca="1" si="209"/>
        <v>0.30701754385964919</v>
      </c>
      <c r="CW205" s="20">
        <f t="shared" ca="1" si="210"/>
        <v>-0.15350877192982459</v>
      </c>
      <c r="CX205" s="20">
        <f t="shared" ca="1" si="211"/>
        <v>-0.10233918128654973</v>
      </c>
      <c r="CY205" s="20">
        <f t="shared" ca="1" si="212"/>
        <v>-6.1403508771929835E-2</v>
      </c>
      <c r="CZ205" s="20">
        <f t="shared" ca="1" si="213"/>
        <v>-3.4113060428849908E-2</v>
      </c>
      <c r="DA205" s="20">
        <f t="shared" ca="1" si="214"/>
        <v>-1.8059855521155833E-2</v>
      </c>
      <c r="DB205" s="20">
        <f t="shared" ca="1" si="215"/>
        <v>-9.303561935140885E-3</v>
      </c>
      <c r="DC205" s="20">
        <f t="shared" ca="1" si="216"/>
        <v>-4.7233468286099877E-3</v>
      </c>
      <c r="DD205" s="21">
        <f t="shared" ca="1" si="217"/>
        <v>4.7233468286099877E-3</v>
      </c>
      <c r="DE205" s="21">
        <f t="shared" ca="1" si="218"/>
        <v>9.303561935140885E-3</v>
      </c>
      <c r="DF205" s="21">
        <f t="shared" ca="1" si="219"/>
        <v>1.8059855521155833E-2</v>
      </c>
      <c r="DG205" s="21">
        <f t="shared" ca="1" si="220"/>
        <v>3.4113060428849908E-2</v>
      </c>
      <c r="DH205" s="21">
        <f t="shared" ca="1" si="221"/>
        <v>6.1403508771929835E-2</v>
      </c>
      <c r="DI205" s="21">
        <f t="shared" ca="1" si="222"/>
        <v>0.10233918128654973</v>
      </c>
      <c r="DJ205" s="21">
        <f t="shared" ca="1" si="223"/>
        <v>0.15350877192982459</v>
      </c>
      <c r="DL205" s="16" cm="1">
        <f t="array" aca="1" ref="DL205" ca="1">MAX(_xlfn._xlws.FILTER(CW205:DJ205,CW205:DJ205&lt;BU205))</f>
        <v>-1.8059855521155833E-2</v>
      </c>
      <c r="DM205" s="16" cm="1">
        <f t="array" aca="1" ref="DM205" ca="1">MIN(_xlfn._xlws.FILTER(CW205:DJ205,CW205:DJ205&gt;BU205))</f>
        <v>-9.303561935140885E-3</v>
      </c>
      <c r="DN205" s="2" cm="1">
        <f t="array" aca="1" ref="DN205" ca="1">_FV(EC205,"Fechamento anterior",TRUE)</f>
        <v>6.08</v>
      </c>
      <c r="DO205" s="28">
        <f t="shared" ca="1" si="235"/>
        <v>0.93549107142856802</v>
      </c>
      <c r="DP205" s="15">
        <f t="shared" ca="1" si="224"/>
        <v>5.970196078431373</v>
      </c>
      <c r="DQ205" s="15">
        <f t="shared" ca="1" si="225"/>
        <v>6.0234343434343431</v>
      </c>
      <c r="DR205" s="9"/>
      <c r="DS205" s="9"/>
      <c r="DT205" s="9"/>
      <c r="DU205" s="89">
        <v>1.6759609042393715E-2</v>
      </c>
      <c r="DV205" s="89">
        <f t="shared" ca="1" si="236"/>
        <v>8.7562935860149484E-3</v>
      </c>
      <c r="DW205" s="72">
        <f t="shared" ca="1" si="237"/>
        <v>0.19590861540418353</v>
      </c>
      <c r="DX205" s="37"/>
      <c r="DY205" s="35">
        <f t="shared" si="247"/>
        <v>0.19141577782408645</v>
      </c>
      <c r="DZ205" s="56"/>
      <c r="EA205" s="56"/>
      <c r="EC205" s="2" t="e" vm="207">
        <v>#VALUE!</v>
      </c>
      <c r="EE205" s="10" cm="1">
        <f t="array" aca="1" ref="EE205" ca="1">_FV(EC205,"Ações em circulação",TRUE)</f>
        <v>61856210</v>
      </c>
      <c r="EF205" s="18">
        <f>VLOOKUP(BP205,Fundamentus!A:U,5,FALSE)</f>
        <v>0.93300000000000005</v>
      </c>
      <c r="EG205" s="2">
        <f t="shared" ca="1" si="238"/>
        <v>399115095.60557336</v>
      </c>
      <c r="EH205" s="17">
        <v>60545760.003365479</v>
      </c>
      <c r="EI205" s="17">
        <f t="shared" ca="1" si="239"/>
        <v>60545760.003365479</v>
      </c>
      <c r="EK205" s="16">
        <f t="shared" ca="1" si="226"/>
        <v>0</v>
      </c>
      <c r="EL205" s="32" t="str">
        <f>IF(VLOOKUP(BP205,Fundamentus!A:U,3,FALSE)&lt;15,"Bom",IF(VLOOKUP(BP205,Fundamentus!A:U,3,FALSE)&gt;15,"Ruim","n/a"))</f>
        <v>Bom</v>
      </c>
      <c r="EM205" s="28" t="str">
        <f>IF(VLOOKUP(BP205,Fundamentus!A:U,4,FALSE)&lt;1,"Baixo",IF(VLOOKUP(BP205,Fundamentus!A:U,4,FALSE)&lt;1.5,"Moderado",IF(VLOOKUP(BP205,Fundamentus!A:U,4,FALSE)&gt;1.5,"Alto","n/a")))</f>
        <v>Baixo</v>
      </c>
      <c r="EN205" s="17" t="str">
        <f>IF(VLOOKUP(BP205,Fundamentus!A:U,8,FALSE)&lt;0,"Risco elevado",IF(VLOOKUP(BP205,Fundamentus!A:U,8,FALSE)&lt;1,"Saudável",IF(VLOOKUP(BP205,Fundamentus!A:U,8,FALSE)&lt;3,"Estável",IF(VLOOKUP(BP205,Fundamentus!A:U,8,FALSE)&gt;3,"Alerta","n/a"))))</f>
        <v>Estável</v>
      </c>
      <c r="EO205" s="28" t="str">
        <f t="shared" si="240"/>
        <v>Ruim</v>
      </c>
      <c r="EP205" s="17" t="str">
        <f>IF(VLOOKUP(BP205,Fundamentus!A:U,12,FALSE)&lt;2,"Subvalorizada",IF(VLOOKUP(BP205,Fundamentus!A:U,12,FALSE)&lt;6,"Muita barata",IF(VLOOKUP(BP205,Fundamentus!A:U,12,FALSE)&lt;6,"Barata",IF(VLOOKUP(BP205,Fundamentus!A:U,12,FALSE)&lt;8,"Atrativa",IF(VLOOKUP(BP205,Fundamentus!A:U,12,FALSE)&gt;8,"Supervalorizada","n/a")))))</f>
        <v>Muita barata</v>
      </c>
      <c r="ER205" s="17" t="str">
        <f>IF(VLOOKUP(BP205,Fundamentus!A:U,17,FALSE)&lt;0.1,"Fraco retorno",IF(VLOOKUP(BP205,Fundamentus!A:U,17,FALSE)&gt;0.1,"Bom retorno","n/a"))</f>
        <v>Bom retorno</v>
      </c>
      <c r="ES205" s="17" t="str">
        <f>IF(VLOOKUP(BP205,Fundamentus!A:U,16,FALSE)&lt;0.1,"Ineficiente",IF(VLOOKUP(BP205,Fundamentus!A:U,16,FALSE)&gt;0.1,"Eficiente","n/a"))</f>
        <v>Eficiente</v>
      </c>
      <c r="ET205" s="33" t="str">
        <f>IF(VLOOKUP(BP205,Fundamentus!A:U,16,FALSE)&lt;0.1,"Oper. Ineficiente",IF(VLOOKUP(BP205,Fundamentus!A:U,16,FALSE)&gt;0.1,"Oper.Eficiente","n/a"))</f>
        <v>Oper.Eficiente</v>
      </c>
      <c r="EU205" s="34">
        <f>VLOOKUP(BP205,Fundamentus!A:U,14,FALSE)</f>
        <v>0.1517</v>
      </c>
      <c r="EV205" s="17" t="str">
        <f>IF(VLOOKUP(BP205,Fundamentus!A:U,21,FALSE)&lt;0,"Negativo",IF(VLOOKUP(BP205,Fundamentus!A:U,21,FALSE)&lt;0.05,"Fraco",IF(VLOOKUP(BP205,Fundamentus!A:U,21,FALSE)&lt;0.1,"Bom",IF(VLOOKUP(BP205,Fundamentus!A:U,21,FALSE)&gt;0.1,"Muito bom","n/a"))))</f>
        <v>Muito bom</v>
      </c>
      <c r="EX205" s="29" t="str">
        <f>IF(VLOOKUP(BP205,Fundamentus!A:U,15,FALSE)&gt;1,"Bom",IF(VLOOKUP(BP205,Fundamentus!A:U,15,FALSE)&lt;1,"Ruim","n/a"))</f>
        <v>Bom</v>
      </c>
      <c r="EY205" s="17" t="str">
        <f>IF(VLOOKUP(BP205,Fundamentus!A:U,20,FALSE)&lt;0.5,"Baixa",IF(VLOOKUP(BP205,Fundamentus!A:U,20,FALSE)&lt;1,"Moderada",IF(VLOOKUP(BP205,Fundamentus!A:U,20,FALSE)&lt;2,"Alerta",IF(VLOOKUP(BP205,Fundamentus!A:U,20,FALSE)&gt;2,"Alta","n/a"))))</f>
        <v>Baixa</v>
      </c>
      <c r="EZ205" s="10"/>
    </row>
    <row r="206" spans="1:156" s="2" customFormat="1" ht="11.25" x14ac:dyDescent="0.2">
      <c r="A206" s="4">
        <v>28.59</v>
      </c>
      <c r="B206" s="4">
        <v>29.18</v>
      </c>
      <c r="C206" s="4">
        <v>27.03</v>
      </c>
      <c r="D206" s="4">
        <v>26.81</v>
      </c>
      <c r="E206" s="4">
        <v>27.2</v>
      </c>
      <c r="F206" s="4">
        <v>28.25</v>
      </c>
      <c r="G206" s="4">
        <v>30.74</v>
      </c>
      <c r="H206" s="4">
        <v>32.369999999999997</v>
      </c>
      <c r="I206" s="4">
        <v>32.54</v>
      </c>
      <c r="J206" s="4">
        <v>32.630000000000003</v>
      </c>
      <c r="K206" s="4">
        <v>32.46</v>
      </c>
      <c r="L206" s="4">
        <v>31.82</v>
      </c>
      <c r="M206" s="4">
        <v>30.48</v>
      </c>
      <c r="N206" s="4">
        <v>28.45</v>
      </c>
      <c r="O206" s="4">
        <v>29.22</v>
      </c>
      <c r="P206" s="4">
        <v>29.22</v>
      </c>
      <c r="Q206" s="4">
        <v>29.35</v>
      </c>
      <c r="R206" s="4">
        <v>27.72</v>
      </c>
      <c r="S206" s="4">
        <v>26.53</v>
      </c>
      <c r="T206" s="4">
        <v>26.2</v>
      </c>
      <c r="U206" s="4">
        <v>27.11</v>
      </c>
      <c r="V206" s="4">
        <v>26.5</v>
      </c>
      <c r="W206" s="4">
        <v>27.84</v>
      </c>
      <c r="X206" s="4">
        <v>26.42</v>
      </c>
      <c r="Y206" s="4">
        <v>26.01</v>
      </c>
      <c r="Z206" s="4">
        <v>25.54</v>
      </c>
      <c r="AA206" s="4">
        <v>26.64</v>
      </c>
      <c r="AB206" s="4">
        <v>25.37</v>
      </c>
      <c r="AC206" s="4">
        <v>24.79</v>
      </c>
      <c r="AD206" s="4">
        <v>25.39</v>
      </c>
      <c r="AE206" s="4">
        <v>25.4</v>
      </c>
      <c r="AF206" s="4">
        <v>25.23</v>
      </c>
      <c r="AG206" s="4">
        <v>24.69</v>
      </c>
      <c r="AH206" s="4">
        <v>24.11</v>
      </c>
      <c r="AI206" s="4">
        <v>23.59</v>
      </c>
      <c r="AJ206" s="4">
        <v>24.2</v>
      </c>
      <c r="AK206" s="4">
        <v>24.27</v>
      </c>
      <c r="AL206" s="4">
        <v>22.99</v>
      </c>
      <c r="AM206" s="4">
        <v>22.69</v>
      </c>
      <c r="AN206" s="4">
        <v>22.69</v>
      </c>
      <c r="AO206" s="4">
        <v>22.41</v>
      </c>
      <c r="AP206" s="4">
        <v>22.83</v>
      </c>
      <c r="AQ206" s="4">
        <v>22.67</v>
      </c>
      <c r="AR206" s="4">
        <v>21.17</v>
      </c>
      <c r="AS206" s="4">
        <v>21.41</v>
      </c>
      <c r="AT206" s="4">
        <v>22.2</v>
      </c>
      <c r="AU206" s="4">
        <v>22.47</v>
      </c>
      <c r="AV206" s="4">
        <v>20.71</v>
      </c>
      <c r="AW206" s="4">
        <v>19</v>
      </c>
      <c r="AX206" s="4">
        <v>19.920000000000002</v>
      </c>
      <c r="AY206" s="12">
        <v>19.579999999999998</v>
      </c>
      <c r="AZ206" s="12">
        <v>20.100000000000001</v>
      </c>
      <c r="BA206" s="12">
        <v>19.510000000000002</v>
      </c>
      <c r="BB206" s="15">
        <v>19.29</v>
      </c>
      <c r="BC206" s="52">
        <v>20.07</v>
      </c>
      <c r="BD206" s="52">
        <v>20.97</v>
      </c>
      <c r="BE206" s="52">
        <v>21.16</v>
      </c>
      <c r="BF206" s="52">
        <v>19.95</v>
      </c>
      <c r="BG206" s="67">
        <v>20.18</v>
      </c>
      <c r="BH206" s="52">
        <v>19.5</v>
      </c>
      <c r="BI206" s="52">
        <v>17.670000000000002</v>
      </c>
      <c r="BJ206" s="52">
        <v>17.850000000000001</v>
      </c>
      <c r="BK206" s="52">
        <v>17.13</v>
      </c>
      <c r="BL206" s="52">
        <v>17.78</v>
      </c>
      <c r="BM206" s="52">
        <v>17.72</v>
      </c>
      <c r="BN206" s="52">
        <v>17.05</v>
      </c>
      <c r="BO206" s="52" cm="1">
        <f t="array" aca="1" ref="BO206" ca="1">_FV(EC206,"Preço")</f>
        <v>17.05</v>
      </c>
      <c r="BP206" s="69" t="s">
        <v>202</v>
      </c>
      <c r="BQ206" s="36" cm="1">
        <f t="array" aca="1" ref="BQ206" ca="1">_FV(EC206,"Média de volume",TRUE)</f>
        <v>2209910</v>
      </c>
      <c r="BR206" s="36">
        <v>2320600</v>
      </c>
      <c r="BS206" s="36" cm="1">
        <f t="array" aca="1" ref="BS206" ca="1">_FV(EC206,"Volume")</f>
        <v>2320600</v>
      </c>
      <c r="BT206" s="24" cm="1">
        <f t="array" aca="1" ref="BT206" ca="1">_FV(EC206,"Beta")</f>
        <v>0.37909999999999999</v>
      </c>
      <c r="BU206" s="71" cm="1">
        <f t="array" aca="1" ref="BU206" ca="1">_FV(EC206,"Variação (%)",TRUE)</f>
        <v>-1.6724000000000003E-2</v>
      </c>
      <c r="BW206" s="17" cm="1">
        <f t="array" aca="1" ref="BW206" ca="1">_FV(EC206,"Baixo")</f>
        <v>17</v>
      </c>
      <c r="BX206" s="17" cm="1">
        <f t="array" aca="1" ref="BX206" ca="1">_FV(EC206,"Alto")</f>
        <v>17.670000000000002</v>
      </c>
      <c r="BY206" s="24"/>
      <c r="BZ206" s="63">
        <f ca="1">SQRT(22.5*(BO206/VLOOKUP(BP206,Fundamentus!A:U,3,FALSE))*(BO206/VLOOKUP(BP206,Fundamentus!A:U,4,FALSE)))</f>
        <v>26.219945609515431</v>
      </c>
      <c r="CB206" s="62">
        <f t="shared" ca="1" si="241"/>
        <v>0</v>
      </c>
      <c r="CC206" s="8"/>
      <c r="CD206" s="61">
        <f t="shared" si="242"/>
        <v>17.05</v>
      </c>
      <c r="CE206" s="61">
        <f t="shared" si="243"/>
        <v>32.630000000000003</v>
      </c>
      <c r="CF206" s="61">
        <f t="shared" si="244"/>
        <v>24.372121212121222</v>
      </c>
      <c r="CG206" s="14"/>
      <c r="CH206" s="35">
        <f t="shared" si="227"/>
        <v>16.658839668881971</v>
      </c>
      <c r="CI206" s="15">
        <f t="shared" si="245"/>
        <v>17.344999999999999</v>
      </c>
      <c r="CJ206" s="35">
        <f t="shared" si="228"/>
        <v>18.031160331118027</v>
      </c>
      <c r="CL206" s="14"/>
      <c r="CM206" s="17">
        <f t="shared" si="229"/>
        <v>-3.7233333333333327</v>
      </c>
      <c r="CN206" s="17">
        <f t="shared" si="230"/>
        <v>6.663333333333334</v>
      </c>
      <c r="CO206" s="17">
        <f t="shared" si="231"/>
        <v>11.856666666666669</v>
      </c>
      <c r="CP206" s="38">
        <f t="shared" si="246"/>
        <v>22.243333333333336</v>
      </c>
      <c r="CQ206" s="17">
        <f t="shared" si="232"/>
        <v>27.436666666666671</v>
      </c>
      <c r="CR206" s="17">
        <f t="shared" si="233"/>
        <v>37.823333333333338</v>
      </c>
      <c r="CS206" s="17">
        <f t="shared" si="234"/>
        <v>43.016666666666673</v>
      </c>
      <c r="CT206" s="2" cm="1">
        <f t="array" aca="1" ref="CT206" ca="1">MAX(_xlfn._xlws.FILTER(CM206:CS206,CM206:CS206&lt;BO206))</f>
        <v>11.856666666666669</v>
      </c>
      <c r="CU206" s="2" cm="1">
        <f t="array" aca="1" ref="CU206" ca="1">MIN(_xlfn._xlws.FILTER($CM206:$CS206,$CM206:$CS206&gt;BO206))</f>
        <v>22.243333333333336</v>
      </c>
      <c r="CV206" s="16">
        <f t="shared" ref="CV206:CV255" ca="1" si="248">(CU206/CT206)-1</f>
        <v>0.87601911723362358</v>
      </c>
      <c r="CW206" s="20">
        <f t="shared" ref="CW206:CW255" ca="1" si="249">-$CV206/2</f>
        <v>-0.43800955861681179</v>
      </c>
      <c r="CX206" s="20">
        <f t="shared" ref="CX206:CX255" ca="1" si="250">-$CV206/3</f>
        <v>-0.29200637241120786</v>
      </c>
      <c r="CY206" s="20">
        <f t="shared" ref="CY206:CY255" ca="1" si="251">-$CV206/5</f>
        <v>-0.17520382344672472</v>
      </c>
      <c r="CZ206" s="20">
        <f t="shared" ref="CZ206:CZ255" ca="1" si="252">-$CV206/9</f>
        <v>-9.733545747040262E-2</v>
      </c>
      <c r="DA206" s="20">
        <f t="shared" ref="DA206:DA255" ca="1" si="253">-$CV206/17</f>
        <v>-5.1530536307860211E-2</v>
      </c>
      <c r="DB206" s="20">
        <f t="shared" ref="DB206:DB255" ca="1" si="254">-$CV206/33</f>
        <v>-2.6546033855564352E-2</v>
      </c>
      <c r="DC206" s="20">
        <f t="shared" ref="DC206:DC255" ca="1" si="255">-$CV206/65</f>
        <v>-1.3477217188209593E-2</v>
      </c>
      <c r="DD206" s="21">
        <f t="shared" ref="DD206:DD255" ca="1" si="256">-$CV206/65*-1</f>
        <v>1.3477217188209593E-2</v>
      </c>
      <c r="DE206" s="21">
        <f t="shared" ref="DE206:DE255" ca="1" si="257">-$CV206/33*-1</f>
        <v>2.6546033855564352E-2</v>
      </c>
      <c r="DF206" s="21">
        <f t="shared" ref="DF206:DF255" ca="1" si="258">-$CV206/17*-1</f>
        <v>5.1530536307860211E-2</v>
      </c>
      <c r="DG206" s="21">
        <f t="shared" ref="DG206:DG255" ca="1" si="259">-$CV206/9*-1</f>
        <v>9.733545747040262E-2</v>
      </c>
      <c r="DH206" s="21">
        <f t="shared" ref="DH206:DH255" ca="1" si="260">-$CV206/5*-1</f>
        <v>0.17520382344672472</v>
      </c>
      <c r="DI206" s="21">
        <f t="shared" ref="DI206:DI255" ca="1" si="261">-$CV206/3*-1</f>
        <v>0.29200637241120786</v>
      </c>
      <c r="DJ206" s="21">
        <f t="shared" ref="DJ206:DJ255" ca="1" si="262">-$CV206/2*-1</f>
        <v>0.43800955861681179</v>
      </c>
      <c r="DL206" s="16" cm="1">
        <f t="array" aca="1" ref="DL206" ca="1">MAX(_xlfn._xlws.FILTER(CW206:DJ206,CW206:DJ206&lt;BU206))</f>
        <v>-2.6546033855564352E-2</v>
      </c>
      <c r="DM206" s="16" cm="1">
        <f t="array" aca="1" ref="DM206" ca="1">MIN(_xlfn._xlws.FILTER(CW206:DJ206,CW206:DJ206&gt;BU206))</f>
        <v>-1.3477217188209593E-2</v>
      </c>
      <c r="DN206" s="2" cm="1">
        <f t="array" aca="1" ref="DN206" ca="1">_FV(EC206,"Fechamento anterior",TRUE)</f>
        <v>17.34</v>
      </c>
      <c r="DO206" s="28">
        <f t="shared" ca="1" si="235"/>
        <v>0.75153683091732948</v>
      </c>
      <c r="DP206" s="15">
        <f t="shared" ref="DP206:DP255" ca="1" si="263">DN206+(DN206*DL206)</f>
        <v>16.879691772944515</v>
      </c>
      <c r="DQ206" s="15">
        <f t="shared" ref="DQ206:DQ255" ca="1" si="264">DN206+(DN206*DM206)</f>
        <v>17.106305053956447</v>
      </c>
      <c r="DR206" s="9"/>
      <c r="DS206" s="9"/>
      <c r="DT206" s="9"/>
      <c r="DU206" s="89">
        <v>2.5110141270399403E-2</v>
      </c>
      <c r="DV206" s="89">
        <f t="shared" ca="1" si="236"/>
        <v>1.3068816667354759E-2</v>
      </c>
      <c r="DW206" s="72">
        <f t="shared" ca="1" si="237"/>
        <v>-0.42992867209231661</v>
      </c>
      <c r="DX206" s="37"/>
      <c r="DY206" s="35">
        <f t="shared" si="247"/>
        <v>0.34308016555901366</v>
      </c>
      <c r="DZ206" s="56"/>
      <c r="EA206" s="56"/>
      <c r="EC206" s="2" t="e" vm="208">
        <v>#VALUE!</v>
      </c>
      <c r="EE206" s="10" cm="1">
        <f t="array" aca="1" ref="EE206" ca="1">_FV(EC206,"Ações em circulação",TRUE)</f>
        <v>332435400</v>
      </c>
      <c r="EF206" s="18">
        <f>VLOOKUP(BP206,Fundamentus!A:U,5,FALSE)</f>
        <v>0.83099999999999996</v>
      </c>
      <c r="EG206" s="2">
        <f t="shared" ca="1" si="238"/>
        <v>6820726317.6895313</v>
      </c>
      <c r="EH206" s="17">
        <v>529970434.8844766</v>
      </c>
      <c r="EI206" s="17">
        <f t="shared" ca="1" si="239"/>
        <v>529970434.8844766</v>
      </c>
      <c r="EK206" s="16">
        <f t="shared" ca="1" si="226"/>
        <v>0</v>
      </c>
      <c r="EL206" s="32" t="str">
        <f>IF(VLOOKUP(BP206,Fundamentus!A:U,3,FALSE)&lt;15,"Bom",IF(VLOOKUP(BP206,Fundamentus!A:U,3,FALSE)&gt;15,"Ruim","n/a"))</f>
        <v>Bom</v>
      </c>
      <c r="EM206" s="28" t="str">
        <f>IF(VLOOKUP(BP206,Fundamentus!A:U,4,FALSE)&lt;1,"Baixo",IF(VLOOKUP(BP206,Fundamentus!A:U,4,FALSE)&lt;1.5,"Moderado",IF(VLOOKUP(BP206,Fundamentus!A:U,4,FALSE)&gt;1.5,"Alto","n/a")))</f>
        <v>Baixo</v>
      </c>
      <c r="EN206" s="17" t="str">
        <f>IF(VLOOKUP(BP206,Fundamentus!A:U,8,FALSE)&lt;0,"Risco elevado",IF(VLOOKUP(BP206,Fundamentus!A:U,8,FALSE)&lt;1,"Saudável",IF(VLOOKUP(BP206,Fundamentus!A:U,8,FALSE)&lt;3,"Estável",IF(VLOOKUP(BP206,Fundamentus!A:U,8,FALSE)&gt;3,"Alerta","n/a"))))</f>
        <v>Estável</v>
      </c>
      <c r="EO206" s="28" t="str">
        <f t="shared" si="240"/>
        <v>Ruim</v>
      </c>
      <c r="EP206" s="17" t="str">
        <f>IF(VLOOKUP(BP206,Fundamentus!A:U,12,FALSE)&lt;2,"Subvalorizada",IF(VLOOKUP(BP206,Fundamentus!A:U,12,FALSE)&lt;6,"Muita barata",IF(VLOOKUP(BP206,Fundamentus!A:U,12,FALSE)&lt;6,"Barata",IF(VLOOKUP(BP206,Fundamentus!A:U,12,FALSE)&lt;8,"Atrativa",IF(VLOOKUP(BP206,Fundamentus!A:U,12,FALSE)&gt;8,"Supervalorizada","n/a")))))</f>
        <v>Muita barata</v>
      </c>
      <c r="ER206" s="17" t="str">
        <f>IF(VLOOKUP(BP206,Fundamentus!A:U,17,FALSE)&lt;0.1,"Fraco retorno",IF(VLOOKUP(BP206,Fundamentus!A:U,17,FALSE)&gt;0.1,"Bom retorno","n/a"))</f>
        <v>Fraco retorno</v>
      </c>
      <c r="ES206" s="17" t="str">
        <f>IF(VLOOKUP(BP206,Fundamentus!A:U,16,FALSE)&lt;0.1,"Ineficiente",IF(VLOOKUP(BP206,Fundamentus!A:U,16,FALSE)&gt;0.1,"Eficiente","n/a"))</f>
        <v>Ineficiente</v>
      </c>
      <c r="ET206" s="33" t="str">
        <f>IF(VLOOKUP(BP206,Fundamentus!A:U,16,FALSE)&lt;0.1,"Oper. Ineficiente",IF(VLOOKUP(BP206,Fundamentus!A:U,16,FALSE)&gt;0.1,"Oper.Eficiente","n/a"))</f>
        <v>Oper. Ineficiente</v>
      </c>
      <c r="EU206" s="34">
        <f>VLOOKUP(BP206,Fundamentus!A:U,14,FALSE)</f>
        <v>7.7700000000000005E-2</v>
      </c>
      <c r="EV206" s="17" t="str">
        <f>IF(VLOOKUP(BP206,Fundamentus!A:U,21,FALSE)&lt;0,"Negativo",IF(VLOOKUP(BP206,Fundamentus!A:U,21,FALSE)&lt;0.05,"Fraco",IF(VLOOKUP(BP206,Fundamentus!A:U,21,FALSE)&lt;0.1,"Bom",IF(VLOOKUP(BP206,Fundamentus!A:U,21,FALSE)&gt;0.1,"Muito bom","n/a"))))</f>
        <v>Muito bom</v>
      </c>
      <c r="EX206" s="29" t="str">
        <f>IF(VLOOKUP(BP206,Fundamentus!A:U,15,FALSE)&gt;1,"Bom",IF(VLOOKUP(BP206,Fundamentus!A:U,15,FALSE)&lt;1,"Ruim","n/a"))</f>
        <v>Bom</v>
      </c>
      <c r="EY206" s="17" t="str">
        <f>IF(VLOOKUP(BP206,Fundamentus!A:U,20,FALSE)&lt;0.5,"Baixa",IF(VLOOKUP(BP206,Fundamentus!A:U,20,FALSE)&lt;1,"Moderada",IF(VLOOKUP(BP206,Fundamentus!A:U,20,FALSE)&lt;2,"Alerta",IF(VLOOKUP(BP206,Fundamentus!A:U,20,FALSE)&gt;2,"Alta","n/a"))))</f>
        <v>Alerta</v>
      </c>
      <c r="EZ206" s="10"/>
    </row>
    <row r="207" spans="1:156" s="2" customFormat="1" ht="11.25" x14ac:dyDescent="0.2">
      <c r="A207" s="4">
        <v>9.09</v>
      </c>
      <c r="B207" s="4">
        <v>9.02</v>
      </c>
      <c r="C207" s="4">
        <v>8.8800000000000008</v>
      </c>
      <c r="D207" s="4">
        <v>8.7100000000000009</v>
      </c>
      <c r="E207" s="4">
        <v>8.5</v>
      </c>
      <c r="F207" s="4">
        <v>8.2899999999999991</v>
      </c>
      <c r="G207" s="4">
        <v>8.2799999999999994</v>
      </c>
      <c r="H207" s="4">
        <v>8.3699999999999992</v>
      </c>
      <c r="I207" s="4">
        <v>8.5</v>
      </c>
      <c r="J207" s="4">
        <v>9</v>
      </c>
      <c r="K207" s="4">
        <v>8.7200000000000006</v>
      </c>
      <c r="L207" s="4">
        <v>8.9</v>
      </c>
      <c r="M207" s="4">
        <v>8.73</v>
      </c>
      <c r="N207" s="4">
        <v>8.3000000000000007</v>
      </c>
      <c r="O207" s="4">
        <v>8.11</v>
      </c>
      <c r="P207" s="4">
        <v>8.09</v>
      </c>
      <c r="Q207" s="4">
        <v>8.17</v>
      </c>
      <c r="R207" s="4">
        <v>7.99</v>
      </c>
      <c r="S207" s="4">
        <v>7.65</v>
      </c>
      <c r="T207" s="4">
        <v>7.69</v>
      </c>
      <c r="U207" s="4">
        <v>7.53</v>
      </c>
      <c r="V207" s="4">
        <v>7.58</v>
      </c>
      <c r="W207" s="4">
        <v>7.6</v>
      </c>
      <c r="X207" s="4">
        <v>7.47</v>
      </c>
      <c r="Y207" s="4">
        <v>7.33</v>
      </c>
      <c r="Z207" s="4">
        <v>7.58</v>
      </c>
      <c r="AA207" s="4">
        <v>7.25</v>
      </c>
      <c r="AB207" s="4">
        <v>7.2</v>
      </c>
      <c r="AC207" s="4">
        <v>6.88</v>
      </c>
      <c r="AD207" s="4">
        <v>7.15</v>
      </c>
      <c r="AE207" s="4">
        <v>7.09</v>
      </c>
      <c r="AF207" s="4">
        <v>7</v>
      </c>
      <c r="AG207" s="4">
        <v>6.98</v>
      </c>
      <c r="AH207" s="4">
        <v>6.96</v>
      </c>
      <c r="AI207" s="4">
        <v>6.77</v>
      </c>
      <c r="AJ207" s="4">
        <v>6.46</v>
      </c>
      <c r="AK207" s="4">
        <v>6.93</v>
      </c>
      <c r="AL207" s="4">
        <v>6.96</v>
      </c>
      <c r="AM207" s="4">
        <v>7.11</v>
      </c>
      <c r="AN207" s="4">
        <v>7.3</v>
      </c>
      <c r="AO207" s="4">
        <v>7.05</v>
      </c>
      <c r="AP207" s="4">
        <v>7.16</v>
      </c>
      <c r="AQ207" s="4">
        <v>7.21</v>
      </c>
      <c r="AR207" s="4">
        <v>7.27</v>
      </c>
      <c r="AS207" s="4">
        <v>7.69</v>
      </c>
      <c r="AT207" s="4">
        <v>7.35</v>
      </c>
      <c r="AU207" s="4">
        <v>7.23</v>
      </c>
      <c r="AV207" s="4">
        <v>7.17</v>
      </c>
      <c r="AW207" s="4">
        <v>7.33</v>
      </c>
      <c r="AX207" s="4">
        <v>7.2</v>
      </c>
      <c r="AY207" s="12">
        <v>7.17</v>
      </c>
      <c r="AZ207" s="12">
        <v>7.48</v>
      </c>
      <c r="BA207" s="12">
        <v>8.0299999999999994</v>
      </c>
      <c r="BB207" s="15">
        <v>8.0500000000000007</v>
      </c>
      <c r="BC207" s="52">
        <v>8.1</v>
      </c>
      <c r="BD207" s="52">
        <v>7.63</v>
      </c>
      <c r="BE207" s="52">
        <v>7.47</v>
      </c>
      <c r="BF207" s="52">
        <v>7.64</v>
      </c>
      <c r="BG207" s="67">
        <v>7.56</v>
      </c>
      <c r="BH207" s="52">
        <v>7.44</v>
      </c>
      <c r="BI207" s="52">
        <v>7.33</v>
      </c>
      <c r="BJ207" s="52">
        <v>7.58</v>
      </c>
      <c r="BK207" s="52">
        <v>7.3</v>
      </c>
      <c r="BL207" s="52">
        <v>7.12</v>
      </c>
      <c r="BM207" s="52">
        <v>7.27</v>
      </c>
      <c r="BN207" s="52">
        <v>7.55</v>
      </c>
      <c r="BO207" s="52" cm="1">
        <f t="array" aca="1" ref="BO207" ca="1">_FV(EC207,"Preço")</f>
        <v>7.55</v>
      </c>
      <c r="BP207" s="69" t="s">
        <v>203</v>
      </c>
      <c r="BQ207" s="36" cm="1">
        <f t="array" aca="1" ref="BQ207" ca="1">_FV(EC207,"Média de volume",TRUE)</f>
        <v>618270</v>
      </c>
      <c r="BR207" s="36">
        <v>1325000</v>
      </c>
      <c r="BS207" s="36" cm="1">
        <f t="array" aca="1" ref="BS207" ca="1">_FV(EC207,"Volume")</f>
        <v>1325000</v>
      </c>
      <c r="BT207" s="24" cm="1">
        <f t="array" aca="1" ref="BT207" ca="1">_FV(EC207,"Beta")</f>
        <v>0.61919999999999997</v>
      </c>
      <c r="BU207" s="71" cm="1">
        <f t="array" aca="1" ref="BU207" ca="1">_FV(EC207,"Variação (%)",TRUE)</f>
        <v>1.2063999999999998E-2</v>
      </c>
      <c r="BW207" s="17" cm="1">
        <f t="array" aca="1" ref="BW207" ca="1">_FV(EC207,"Baixo")</f>
        <v>7.52</v>
      </c>
      <c r="BX207" s="17" cm="1">
        <f t="array" aca="1" ref="BX207" ca="1">_FV(EC207,"Alto")</f>
        <v>7.79</v>
      </c>
      <c r="BY207" s="24"/>
      <c r="BZ207" s="63">
        <f ca="1">SQRT(22.5*(BO207/VLOOKUP(BP207,Fundamentus!A:U,3,FALSE))*(BO207/VLOOKUP(BP207,Fundamentus!A:U,4,FALSE)))</f>
        <v>13.90885156517515</v>
      </c>
      <c r="CB207" s="62">
        <f t="shared" ca="1" si="241"/>
        <v>0</v>
      </c>
      <c r="CC207" s="8"/>
      <c r="CD207" s="61">
        <f t="shared" si="242"/>
        <v>6.46</v>
      </c>
      <c r="CE207" s="61">
        <f t="shared" si="243"/>
        <v>9.09</v>
      </c>
      <c r="CF207" s="61">
        <f t="shared" si="244"/>
        <v>7.6590909090909101</v>
      </c>
      <c r="CG207" s="14"/>
      <c r="CH207" s="35">
        <f t="shared" si="227"/>
        <v>7.1843206592911093</v>
      </c>
      <c r="CI207" s="15">
        <f t="shared" si="245"/>
        <v>7.5349999999999682</v>
      </c>
      <c r="CJ207" s="35">
        <f t="shared" si="228"/>
        <v>7.885679340708827</v>
      </c>
      <c r="CL207" s="14"/>
      <c r="CM207" s="17">
        <f t="shared" si="229"/>
        <v>3.6800000000000006</v>
      </c>
      <c r="CN207" s="17">
        <f t="shared" si="230"/>
        <v>5.07</v>
      </c>
      <c r="CO207" s="17">
        <f t="shared" si="231"/>
        <v>6.3100000000000005</v>
      </c>
      <c r="CP207" s="38">
        <f t="shared" si="246"/>
        <v>7.7</v>
      </c>
      <c r="CQ207" s="17">
        <f t="shared" si="232"/>
        <v>8.9400000000000013</v>
      </c>
      <c r="CR207" s="17">
        <f t="shared" si="233"/>
        <v>10.33</v>
      </c>
      <c r="CS207" s="17">
        <f t="shared" si="234"/>
        <v>11.57</v>
      </c>
      <c r="CT207" s="2" cm="1">
        <f t="array" aca="1" ref="CT207" ca="1">MAX(_xlfn._xlws.FILTER(CM207:CS207,CM207:CS207&lt;BO207))</f>
        <v>6.3100000000000005</v>
      </c>
      <c r="CU207" s="2" cm="1">
        <f t="array" aca="1" ref="CU207" ca="1">MIN(_xlfn._xlws.FILTER($CM207:$CS207,$CM207:$CS207&gt;BO207))</f>
        <v>7.7</v>
      </c>
      <c r="CV207" s="16">
        <f t="shared" ca="1" si="248"/>
        <v>0.22028526148969885</v>
      </c>
      <c r="CW207" s="20">
        <f t="shared" ca="1" si="249"/>
        <v>-0.11014263074484942</v>
      </c>
      <c r="CX207" s="20">
        <f t="shared" ca="1" si="250"/>
        <v>-7.3428420496566282E-2</v>
      </c>
      <c r="CY207" s="20">
        <f t="shared" ca="1" si="251"/>
        <v>-4.4057052297939769E-2</v>
      </c>
      <c r="CZ207" s="20">
        <f t="shared" ca="1" si="252"/>
        <v>-2.4476140165522093E-2</v>
      </c>
      <c r="DA207" s="20">
        <f t="shared" ca="1" si="253"/>
        <v>-1.2957956558217579E-2</v>
      </c>
      <c r="DB207" s="20">
        <f t="shared" ca="1" si="254"/>
        <v>-6.6753109542332986E-3</v>
      </c>
      <c r="DC207" s="20">
        <f t="shared" ca="1" si="255"/>
        <v>-3.3890040229184438E-3</v>
      </c>
      <c r="DD207" s="21">
        <f t="shared" ca="1" si="256"/>
        <v>3.3890040229184438E-3</v>
      </c>
      <c r="DE207" s="21">
        <f t="shared" ca="1" si="257"/>
        <v>6.6753109542332986E-3</v>
      </c>
      <c r="DF207" s="21">
        <f t="shared" ca="1" si="258"/>
        <v>1.2957956558217579E-2</v>
      </c>
      <c r="DG207" s="21">
        <f t="shared" ca="1" si="259"/>
        <v>2.4476140165522093E-2</v>
      </c>
      <c r="DH207" s="21">
        <f t="shared" ca="1" si="260"/>
        <v>4.4057052297939769E-2</v>
      </c>
      <c r="DI207" s="21">
        <f t="shared" ca="1" si="261"/>
        <v>7.3428420496566282E-2</v>
      </c>
      <c r="DJ207" s="21">
        <f t="shared" ca="1" si="262"/>
        <v>0.11014263074484942</v>
      </c>
      <c r="DL207" s="16" cm="1">
        <f t="array" aca="1" ref="DL207" ca="1">MAX(_xlfn._xlws.FILTER(CW207:DJ207,CW207:DJ207&lt;BU207))</f>
        <v>6.6753109542332986E-3</v>
      </c>
      <c r="DM207" s="16" cm="1">
        <f t="array" aca="1" ref="DM207" ca="1">MIN(_xlfn._xlws.FILTER(CW207:DJ207,CW207:DJ207&gt;BU207))</f>
        <v>1.2957956558217579E-2</v>
      </c>
      <c r="DN207" s="2" cm="1">
        <f t="array" aca="1" ref="DN207" ca="1">_FV(EC207,"Fechamento anterior",TRUE)</f>
        <v>7.46</v>
      </c>
      <c r="DO207" s="28">
        <f t="shared" ca="1" si="235"/>
        <v>0.85776479352710466</v>
      </c>
      <c r="DP207" s="15">
        <f t="shared" ca="1" si="263"/>
        <v>7.50979781971858</v>
      </c>
      <c r="DQ207" s="15">
        <f t="shared" ca="1" si="264"/>
        <v>7.5566663559243032</v>
      </c>
      <c r="DR207" s="9"/>
      <c r="DS207" s="9"/>
      <c r="DT207" s="9"/>
      <c r="DU207" s="89">
        <v>3.7977149211238827E-3</v>
      </c>
      <c r="DV207" s="89">
        <f t="shared" ca="1" si="236"/>
        <v>6.2826456039842809E-3</v>
      </c>
      <c r="DW207" s="72">
        <f t="shared" ca="1" si="237"/>
        <v>4.2774119426912463E-2</v>
      </c>
      <c r="DX207" s="37"/>
      <c r="DY207" s="35">
        <f t="shared" si="247"/>
        <v>0.17533967035442949</v>
      </c>
      <c r="DZ207" s="56"/>
      <c r="EA207" s="56"/>
      <c r="EC207" s="2" t="e" vm="209">
        <v>#VALUE!</v>
      </c>
      <c r="EE207" s="10" cm="1">
        <f t="array" aca="1" ref="EE207" ca="1">_FV(EC207,"Ações em circulação",TRUE)</f>
        <v>239829900</v>
      </c>
      <c r="EF207" s="18">
        <f>VLOOKUP(BP207,Fundamentus!A:U,5,FALSE)</f>
        <v>1.0429999999999999</v>
      </c>
      <c r="EG207" s="2">
        <f t="shared" ca="1" si="238"/>
        <v>1736064952.0613616</v>
      </c>
      <c r="EH207" s="17">
        <v>335928568.2238735</v>
      </c>
      <c r="EI207" s="17">
        <f t="shared" ca="1" si="239"/>
        <v>335928568.2238735</v>
      </c>
      <c r="EK207" s="16">
        <f t="shared" ca="1" si="226"/>
        <v>0</v>
      </c>
      <c r="EL207" s="32" t="str">
        <f>IF(VLOOKUP(BP207,Fundamentus!A:U,3,FALSE)&lt;15,"Bom",IF(VLOOKUP(BP207,Fundamentus!A:U,3,FALSE)&gt;15,"Ruim","n/a"))</f>
        <v>Bom</v>
      </c>
      <c r="EM207" s="28" t="str">
        <f>IF(VLOOKUP(BP207,Fundamentus!A:U,4,FALSE)&lt;1,"Baixo",IF(VLOOKUP(BP207,Fundamentus!A:U,4,FALSE)&lt;1.5,"Moderado",IF(VLOOKUP(BP207,Fundamentus!A:U,4,FALSE)&gt;1.5,"Alto","n/a")))</f>
        <v>Moderado</v>
      </c>
      <c r="EN207" s="17" t="str">
        <f>IF(VLOOKUP(BP207,Fundamentus!A:U,8,FALSE)&lt;0,"Risco elevado",IF(VLOOKUP(BP207,Fundamentus!A:U,8,FALSE)&lt;1,"Saudável",IF(VLOOKUP(BP207,Fundamentus!A:U,8,FALSE)&lt;3,"Estável",IF(VLOOKUP(BP207,Fundamentus!A:U,8,FALSE)&gt;3,"Alerta","n/a"))))</f>
        <v>Estável</v>
      </c>
      <c r="EO207" s="28" t="str">
        <f t="shared" si="240"/>
        <v>Bom</v>
      </c>
      <c r="EP207" s="17" t="str">
        <f>IF(VLOOKUP(BP207,Fundamentus!A:U,12,FALSE)&lt;2,"Subvalorizada",IF(VLOOKUP(BP207,Fundamentus!A:U,12,FALSE)&lt;6,"Muita barata",IF(VLOOKUP(BP207,Fundamentus!A:U,12,FALSE)&lt;6,"Barata",IF(VLOOKUP(BP207,Fundamentus!A:U,12,FALSE)&lt;8,"Atrativa",IF(VLOOKUP(BP207,Fundamentus!A:U,12,FALSE)&gt;8,"Supervalorizada","n/a")))))</f>
        <v>Muita barata</v>
      </c>
      <c r="ER207" s="17" t="str">
        <f>IF(VLOOKUP(BP207,Fundamentus!A:U,17,FALSE)&lt;0.1,"Fraco retorno",IF(VLOOKUP(BP207,Fundamentus!A:U,17,FALSE)&gt;0.1,"Bom retorno","n/a"))</f>
        <v>Bom retorno</v>
      </c>
      <c r="ES207" s="17" t="str">
        <f>IF(VLOOKUP(BP207,Fundamentus!A:U,16,FALSE)&lt;0.1,"Ineficiente",IF(VLOOKUP(BP207,Fundamentus!A:U,16,FALSE)&gt;0.1,"Eficiente","n/a"))</f>
        <v>Eficiente</v>
      </c>
      <c r="ET207" s="33" t="str">
        <f>IF(VLOOKUP(BP207,Fundamentus!A:U,16,FALSE)&lt;0.1,"Oper. Ineficiente",IF(VLOOKUP(BP207,Fundamentus!A:U,16,FALSE)&gt;0.1,"Oper.Eficiente","n/a"))</f>
        <v>Oper.Eficiente</v>
      </c>
      <c r="EU207" s="34">
        <f>VLOOKUP(BP207,Fundamentus!A:U,14,FALSE)</f>
        <v>0.19350000000000001</v>
      </c>
      <c r="EV207" s="17" t="str">
        <f>IF(VLOOKUP(BP207,Fundamentus!A:U,21,FALSE)&lt;0,"Negativo",IF(VLOOKUP(BP207,Fundamentus!A:U,21,FALSE)&lt;0.05,"Fraco",IF(VLOOKUP(BP207,Fundamentus!A:U,21,FALSE)&lt;0.1,"Bom",IF(VLOOKUP(BP207,Fundamentus!A:U,21,FALSE)&gt;0.1,"Muito bom","n/a"))))</f>
        <v>Bom</v>
      </c>
      <c r="EX207" s="29" t="str">
        <f>IF(VLOOKUP(BP207,Fundamentus!A:U,15,FALSE)&gt;1,"Bom",IF(VLOOKUP(BP207,Fundamentus!A:U,15,FALSE)&lt;1,"Ruim","n/a"))</f>
        <v>Bom</v>
      </c>
      <c r="EY207" s="17" t="str">
        <f>IF(VLOOKUP(BP207,Fundamentus!A:U,20,FALSE)&lt;0.5,"Baixa",IF(VLOOKUP(BP207,Fundamentus!A:U,20,FALSE)&lt;1,"Moderada",IF(VLOOKUP(BP207,Fundamentus!A:U,20,FALSE)&lt;2,"Alerta",IF(VLOOKUP(BP207,Fundamentus!A:U,20,FALSE)&gt;2,"Alta","n/a"))))</f>
        <v>Alerta</v>
      </c>
      <c r="EZ207" s="10"/>
    </row>
    <row r="208" spans="1:156" s="2" customFormat="1" ht="11.25" x14ac:dyDescent="0.2">
      <c r="A208" s="4">
        <v>4.87</v>
      </c>
      <c r="B208" s="4">
        <v>4.7699999999999996</v>
      </c>
      <c r="C208" s="4">
        <v>4.45</v>
      </c>
      <c r="D208" s="4">
        <v>3.81</v>
      </c>
      <c r="E208" s="4">
        <v>3.76</v>
      </c>
      <c r="F208" s="4">
        <v>3.55</v>
      </c>
      <c r="G208" s="4">
        <v>3.5</v>
      </c>
      <c r="H208" s="4">
        <v>3.45</v>
      </c>
      <c r="I208" s="4">
        <v>3.65</v>
      </c>
      <c r="J208" s="4">
        <v>3.75</v>
      </c>
      <c r="K208" s="4">
        <v>4.0999999999999996</v>
      </c>
      <c r="L208" s="4">
        <v>3.92</v>
      </c>
      <c r="M208" s="4">
        <v>3.71</v>
      </c>
      <c r="N208" s="4">
        <v>3.63</v>
      </c>
      <c r="O208" s="4">
        <v>4.03</v>
      </c>
      <c r="P208" s="4">
        <v>3.77</v>
      </c>
      <c r="Q208" s="4">
        <v>5.25</v>
      </c>
      <c r="R208" s="4">
        <v>4.8600000000000003</v>
      </c>
      <c r="S208" s="4">
        <v>4.8499999999999996</v>
      </c>
      <c r="T208" s="4">
        <v>4.75</v>
      </c>
      <c r="U208" s="4">
        <v>4.5999999999999996</v>
      </c>
      <c r="V208" s="4">
        <v>4.91</v>
      </c>
      <c r="W208" s="4">
        <v>4.9400000000000004</v>
      </c>
      <c r="X208" s="4">
        <v>4.88</v>
      </c>
      <c r="Y208" s="4">
        <v>4.83</v>
      </c>
      <c r="Z208" s="4">
        <v>4.8600000000000003</v>
      </c>
      <c r="AA208" s="4">
        <v>4.99</v>
      </c>
      <c r="AB208" s="4">
        <v>4.88</v>
      </c>
      <c r="AC208" s="4">
        <v>4.3</v>
      </c>
      <c r="AD208" s="4">
        <v>4.3</v>
      </c>
      <c r="AE208" s="4">
        <v>4.3</v>
      </c>
      <c r="AF208" s="4">
        <v>3.99</v>
      </c>
      <c r="AG208" s="4">
        <v>3.9</v>
      </c>
      <c r="AH208" s="4">
        <v>3.92</v>
      </c>
      <c r="AI208" s="4">
        <v>4.1500000000000004</v>
      </c>
      <c r="AJ208" s="4">
        <v>4.0199999999999996</v>
      </c>
      <c r="AK208" s="4">
        <v>4.0599999999999996</v>
      </c>
      <c r="AL208" s="4">
        <v>4.47</v>
      </c>
      <c r="AM208" s="4">
        <v>4.7</v>
      </c>
      <c r="AN208" s="4">
        <v>4.6900000000000004</v>
      </c>
      <c r="AO208" s="4">
        <v>4.49</v>
      </c>
      <c r="AP208" s="4">
        <v>4.3899999999999997</v>
      </c>
      <c r="AQ208" s="4">
        <v>4.24</v>
      </c>
      <c r="AR208" s="4">
        <v>4</v>
      </c>
      <c r="AS208" s="4">
        <v>4.25</v>
      </c>
      <c r="AT208" s="4">
        <v>4.6399999999999997</v>
      </c>
      <c r="AU208" s="4">
        <v>4.3650000000000002</v>
      </c>
      <c r="AV208" s="4">
        <v>4.09</v>
      </c>
      <c r="AW208" s="4">
        <v>4.04</v>
      </c>
      <c r="AX208" s="4">
        <v>4.0199999999999996</v>
      </c>
      <c r="AY208" s="12">
        <v>4.05</v>
      </c>
      <c r="AZ208" s="12">
        <v>4.53</v>
      </c>
      <c r="BA208" s="12">
        <v>4.6500000000000004</v>
      </c>
      <c r="BB208" s="15">
        <v>4.43</v>
      </c>
      <c r="BC208" s="52">
        <v>4.18</v>
      </c>
      <c r="BD208" s="52">
        <v>4.4800000000000004</v>
      </c>
      <c r="BE208" s="52">
        <v>4.32</v>
      </c>
      <c r="BF208" s="52">
        <v>4.2</v>
      </c>
      <c r="BG208" s="67">
        <v>4.16</v>
      </c>
      <c r="BH208" s="52">
        <v>4.0199999999999996</v>
      </c>
      <c r="BI208" s="52">
        <v>3.97</v>
      </c>
      <c r="BJ208" s="52">
        <v>3.86</v>
      </c>
      <c r="BK208" s="52">
        <v>3.65</v>
      </c>
      <c r="BL208" s="52">
        <v>3.95</v>
      </c>
      <c r="BM208" s="52">
        <v>3.99</v>
      </c>
      <c r="BN208" s="52">
        <v>4.04</v>
      </c>
      <c r="BO208" s="52" cm="1">
        <f t="array" aca="1" ref="BO208" ca="1">_FV(EC208,"Preço")</f>
        <v>4.04</v>
      </c>
      <c r="BP208" s="69" t="s">
        <v>204</v>
      </c>
      <c r="BQ208" s="36" cm="1">
        <f t="array" aca="1" ref="BQ208" ca="1">_FV(EC208,"Média de volume",TRUE)</f>
        <v>4845750</v>
      </c>
      <c r="BR208" s="36">
        <v>4639800</v>
      </c>
      <c r="BS208" s="36" cm="1">
        <f t="array" aca="1" ref="BS208" ca="1">_FV(EC208,"Volume")</f>
        <v>4639800</v>
      </c>
      <c r="BT208" s="24" cm="1">
        <f t="array" aca="1" ref="BT208" ca="1">_FV(EC208,"Beta")</f>
        <v>1.1625000000000001</v>
      </c>
      <c r="BU208" s="71" cm="1">
        <f t="array" aca="1" ref="BU208" ca="1">_FV(EC208,"Variação (%)",TRUE)</f>
        <v>2.0202000000000001E-2</v>
      </c>
      <c r="BW208" s="17" cm="1">
        <f t="array" aca="1" ref="BW208" ca="1">_FV(EC208,"Baixo")</f>
        <v>4</v>
      </c>
      <c r="BX208" s="17" cm="1">
        <f t="array" aca="1" ref="BX208" ca="1">_FV(EC208,"Alto")</f>
        <v>4.0999999999999996</v>
      </c>
      <c r="BY208" s="24"/>
      <c r="BZ208" s="63" t="e">
        <f ca="1">SQRT(22.5*(BO208/VLOOKUP(BP208,Fundamentus!A:U,3,FALSE))*(BO208/VLOOKUP(BP208,Fundamentus!A:U,4,FALSE)))</f>
        <v>#NUM!</v>
      </c>
      <c r="CB208" s="62">
        <f t="shared" ca="1" si="241"/>
        <v>0</v>
      </c>
      <c r="CC208" s="8"/>
      <c r="CD208" s="61">
        <f t="shared" si="242"/>
        <v>3.45</v>
      </c>
      <c r="CE208" s="61">
        <f t="shared" si="243"/>
        <v>5.25</v>
      </c>
      <c r="CF208" s="61">
        <f t="shared" si="244"/>
        <v>4.2594696969696972</v>
      </c>
      <c r="CG208" s="14"/>
      <c r="CH208" s="35">
        <f t="shared" si="227"/>
        <v>3.9353656976996865</v>
      </c>
      <c r="CI208" s="15">
        <f t="shared" si="245"/>
        <v>4.2100000000000364</v>
      </c>
      <c r="CJ208" s="35">
        <f t="shared" si="228"/>
        <v>4.4846343023003863</v>
      </c>
      <c r="CL208" s="14"/>
      <c r="CM208" s="17">
        <f t="shared" si="229"/>
        <v>1.4433333333333325</v>
      </c>
      <c r="CN208" s="17">
        <f t="shared" si="230"/>
        <v>2.4466666666666663</v>
      </c>
      <c r="CO208" s="17">
        <f t="shared" si="231"/>
        <v>3.2433333333333323</v>
      </c>
      <c r="CP208" s="38">
        <f t="shared" si="246"/>
        <v>4.2466666666666661</v>
      </c>
      <c r="CQ208" s="17">
        <f t="shared" si="232"/>
        <v>5.0433333333333321</v>
      </c>
      <c r="CR208" s="17">
        <f t="shared" si="233"/>
        <v>6.046666666666666</v>
      </c>
      <c r="CS208" s="17">
        <f t="shared" si="234"/>
        <v>6.8433333333333319</v>
      </c>
      <c r="CT208" s="2" cm="1">
        <f t="array" aca="1" ref="CT208" ca="1">MAX(_xlfn._xlws.FILTER(CM208:CS208,CM208:CS208&lt;BO208))</f>
        <v>3.2433333333333323</v>
      </c>
      <c r="CU208" s="2" cm="1">
        <f t="array" aca="1" ref="CU208" ca="1">MIN(_xlfn._xlws.FILTER($CM208:$CS208,$CM208:$CS208&gt;BO208))</f>
        <v>4.2466666666666661</v>
      </c>
      <c r="CV208" s="16">
        <f t="shared" ca="1" si="248"/>
        <v>0.30935251798561181</v>
      </c>
      <c r="CW208" s="20">
        <f t="shared" ca="1" si="249"/>
        <v>-0.1546762589928059</v>
      </c>
      <c r="CX208" s="20">
        <f t="shared" ca="1" si="250"/>
        <v>-0.10311750599520393</v>
      </c>
      <c r="CY208" s="20">
        <f t="shared" ca="1" si="251"/>
        <v>-6.1870503597122359E-2</v>
      </c>
      <c r="CZ208" s="20">
        <f t="shared" ca="1" si="252"/>
        <v>-3.4372501998401313E-2</v>
      </c>
      <c r="DA208" s="20">
        <f t="shared" ca="1" si="253"/>
        <v>-1.8197206940330106E-2</v>
      </c>
      <c r="DB208" s="20">
        <f t="shared" ca="1" si="254"/>
        <v>-9.3743187268367223E-3</v>
      </c>
      <c r="DC208" s="20">
        <f t="shared" ca="1" si="255"/>
        <v>-4.7592695074709507E-3</v>
      </c>
      <c r="DD208" s="21">
        <f t="shared" ca="1" si="256"/>
        <v>4.7592695074709507E-3</v>
      </c>
      <c r="DE208" s="21">
        <f t="shared" ca="1" si="257"/>
        <v>9.3743187268367223E-3</v>
      </c>
      <c r="DF208" s="21">
        <f t="shared" ca="1" si="258"/>
        <v>1.8197206940330106E-2</v>
      </c>
      <c r="DG208" s="21">
        <f t="shared" ca="1" si="259"/>
        <v>3.4372501998401313E-2</v>
      </c>
      <c r="DH208" s="21">
        <f t="shared" ca="1" si="260"/>
        <v>6.1870503597122359E-2</v>
      </c>
      <c r="DI208" s="21">
        <f t="shared" ca="1" si="261"/>
        <v>0.10311750599520393</v>
      </c>
      <c r="DJ208" s="21">
        <f t="shared" ca="1" si="262"/>
        <v>0.1546762589928059</v>
      </c>
      <c r="DL208" s="16" cm="1">
        <f t="array" aca="1" ref="DL208" ca="1">MAX(_xlfn._xlws.FILTER(CW208:DJ208,CW208:DJ208&lt;BU208))</f>
        <v>1.8197206940330106E-2</v>
      </c>
      <c r="DM208" s="16" cm="1">
        <f t="array" aca="1" ref="DM208" ca="1">MIN(_xlfn._xlws.FILTER(CW208:DJ208,CW208:DJ208&gt;BU208))</f>
        <v>3.4372501998401313E-2</v>
      </c>
      <c r="DN208" s="2" cm="1">
        <f t="array" aca="1" ref="DN208" ca="1">_FV(EC208,"Fechamento anterior",TRUE)</f>
        <v>3.96</v>
      </c>
      <c r="DO208" s="28">
        <f t="shared" ca="1" si="235"/>
        <v>0.12394291754756748</v>
      </c>
      <c r="DP208" s="15">
        <f t="shared" ca="1" si="263"/>
        <v>4.0320609394837073</v>
      </c>
      <c r="DQ208" s="15">
        <f t="shared" ca="1" si="264"/>
        <v>4.0961151079136693</v>
      </c>
      <c r="DR208" s="9"/>
      <c r="DS208" s="9"/>
      <c r="DT208" s="9"/>
      <c r="DU208" s="89">
        <v>9.2579630614740092E-3</v>
      </c>
      <c r="DV208" s="89">
        <f t="shared" ca="1" si="236"/>
        <v>1.6175295058071207E-2</v>
      </c>
      <c r="DW208" s="72">
        <f t="shared" ca="1" si="237"/>
        <v>-0.61900497707718338</v>
      </c>
      <c r="DX208" s="37"/>
      <c r="DY208" s="35">
        <f t="shared" si="247"/>
        <v>0.13731715115017507</v>
      </c>
      <c r="DZ208" s="56"/>
      <c r="EA208" s="56"/>
      <c r="EC208" s="2" t="e" vm="210">
        <v>#VALUE!</v>
      </c>
      <c r="EE208" s="10" cm="1">
        <f t="array" aca="1" ref="EE208" ca="1">_FV(EC208,"Ações em circulação",TRUE)</f>
        <v>462739900</v>
      </c>
      <c r="EF208" s="18">
        <f>VLOOKUP(BP208,Fundamentus!A:U,5,FALSE)</f>
        <v>0.54600000000000004</v>
      </c>
      <c r="EG208" s="2">
        <f t="shared" ca="1" si="238"/>
        <v>3423936256.4102564</v>
      </c>
      <c r="EH208" s="17">
        <v>-41087235.07692308</v>
      </c>
      <c r="EI208" s="17">
        <f t="shared" ca="1" si="239"/>
        <v>-41087235.07692308</v>
      </c>
      <c r="EK208" s="16">
        <f t="shared" ca="1" si="226"/>
        <v>0</v>
      </c>
      <c r="EL208" s="32" t="str">
        <f>IF(VLOOKUP(BP208,Fundamentus!A:U,3,FALSE)&lt;15,"Bom",IF(VLOOKUP(BP208,Fundamentus!A:U,3,FALSE)&gt;15,"Ruim","n/a"))</f>
        <v>Bom</v>
      </c>
      <c r="EM208" s="28" t="str">
        <f>IF(VLOOKUP(BP208,Fundamentus!A:U,4,FALSE)&lt;1,"Baixo",IF(VLOOKUP(BP208,Fundamentus!A:U,4,FALSE)&lt;1.5,"Moderado",IF(VLOOKUP(BP208,Fundamentus!A:U,4,FALSE)&gt;1.5,"Alto","n/a")))</f>
        <v>Moderado</v>
      </c>
      <c r="EN208" s="17" t="str">
        <f>IF(VLOOKUP(BP208,Fundamentus!A:U,8,FALSE)&lt;0,"Risco elevado",IF(VLOOKUP(BP208,Fundamentus!A:U,8,FALSE)&lt;1,"Saudável",IF(VLOOKUP(BP208,Fundamentus!A:U,8,FALSE)&lt;3,"Estável",IF(VLOOKUP(BP208,Fundamentus!A:U,8,FALSE)&gt;3,"Alerta","n/a"))))</f>
        <v>Alerta</v>
      </c>
      <c r="EO208" s="28" t="str">
        <f t="shared" si="240"/>
        <v>Ruim</v>
      </c>
      <c r="EP208" s="17" t="str">
        <f>IF(VLOOKUP(BP208,Fundamentus!A:U,12,FALSE)&lt;2,"Subvalorizada",IF(VLOOKUP(BP208,Fundamentus!A:U,12,FALSE)&lt;6,"Muita barata",IF(VLOOKUP(BP208,Fundamentus!A:U,12,FALSE)&lt;6,"Barata",IF(VLOOKUP(BP208,Fundamentus!A:U,12,FALSE)&lt;8,"Atrativa",IF(VLOOKUP(BP208,Fundamentus!A:U,12,FALSE)&gt;8,"Supervalorizada","n/a")))))</f>
        <v>Muita barata</v>
      </c>
      <c r="ER208" s="17" t="str">
        <f>IF(VLOOKUP(BP208,Fundamentus!A:U,17,FALSE)&lt;0.1,"Fraco retorno",IF(VLOOKUP(BP208,Fundamentus!A:U,17,FALSE)&gt;0.1,"Bom retorno","n/a"))</f>
        <v>Fraco retorno</v>
      </c>
      <c r="ES208" s="17" t="str">
        <f>IF(VLOOKUP(BP208,Fundamentus!A:U,16,FALSE)&lt;0.1,"Ineficiente",IF(VLOOKUP(BP208,Fundamentus!A:U,16,FALSE)&gt;0.1,"Eficiente","n/a"))</f>
        <v>Ineficiente</v>
      </c>
      <c r="ET208" s="33" t="str">
        <f>IF(VLOOKUP(BP208,Fundamentus!A:U,16,FALSE)&lt;0.1,"Oper. Ineficiente",IF(VLOOKUP(BP208,Fundamentus!A:U,16,FALSE)&gt;0.1,"Oper.Eficiente","n/a"))</f>
        <v>Oper. Ineficiente</v>
      </c>
      <c r="EU208" s="34">
        <f>VLOOKUP(BP208,Fundamentus!A:U,14,FALSE)</f>
        <v>-1.2E-2</v>
      </c>
      <c r="EV208" s="17" t="str">
        <f>IF(VLOOKUP(BP208,Fundamentus!A:U,21,FALSE)&lt;0,"Negativo",IF(VLOOKUP(BP208,Fundamentus!A:U,21,FALSE)&lt;0.05,"Fraco",IF(VLOOKUP(BP208,Fundamentus!A:U,21,FALSE)&lt;0.1,"Bom",IF(VLOOKUP(BP208,Fundamentus!A:U,21,FALSE)&gt;0.1,"Muito bom","n/a"))))</f>
        <v>Muito bom</v>
      </c>
      <c r="EX208" s="29" t="str">
        <f>IF(VLOOKUP(BP208,Fundamentus!A:U,15,FALSE)&gt;1,"Bom",IF(VLOOKUP(BP208,Fundamentus!A:U,15,FALSE)&lt;1,"Ruim","n/a"))</f>
        <v>Bom</v>
      </c>
      <c r="EY208" s="17" t="str">
        <f>IF(VLOOKUP(BP208,Fundamentus!A:U,20,FALSE)&lt;0.5,"Baixa",IF(VLOOKUP(BP208,Fundamentus!A:U,20,FALSE)&lt;1,"Moderada",IF(VLOOKUP(BP208,Fundamentus!A:U,20,FALSE)&lt;2,"Alerta",IF(VLOOKUP(BP208,Fundamentus!A:U,20,FALSE)&gt;2,"Alta","n/a"))))</f>
        <v>Baixa</v>
      </c>
      <c r="EZ208" s="10"/>
    </row>
    <row r="209" spans="1:156" s="2" customFormat="1" ht="11.25" x14ac:dyDescent="0.2">
      <c r="A209" s="4">
        <v>28.18</v>
      </c>
      <c r="B209" s="4">
        <v>28.52</v>
      </c>
      <c r="C209" s="4">
        <v>28.71</v>
      </c>
      <c r="D209" s="4">
        <v>29</v>
      </c>
      <c r="E209" s="4">
        <v>28.56</v>
      </c>
      <c r="F209" s="4">
        <v>28.5</v>
      </c>
      <c r="G209" s="4">
        <v>30.59</v>
      </c>
      <c r="H209" s="4">
        <v>29.83</v>
      </c>
      <c r="I209" s="4">
        <v>30.25</v>
      </c>
      <c r="J209" s="4">
        <v>29.5</v>
      </c>
      <c r="K209" s="4">
        <v>29.28</v>
      </c>
      <c r="L209" s="4">
        <v>28.06</v>
      </c>
      <c r="M209" s="4">
        <v>28.13</v>
      </c>
      <c r="N209" s="4">
        <v>27.62</v>
      </c>
      <c r="O209" s="4">
        <v>29.62</v>
      </c>
      <c r="P209" s="4">
        <v>29.54</v>
      </c>
      <c r="Q209" s="4">
        <v>31.46</v>
      </c>
      <c r="R209" s="4">
        <v>29.97</v>
      </c>
      <c r="S209" s="4">
        <v>29.36</v>
      </c>
      <c r="T209" s="4">
        <v>30.18</v>
      </c>
      <c r="U209" s="4">
        <v>28.95</v>
      </c>
      <c r="V209" s="4">
        <v>28.28</v>
      </c>
      <c r="W209" s="4">
        <v>27.99</v>
      </c>
      <c r="X209" s="4">
        <v>28</v>
      </c>
      <c r="Y209" s="4">
        <v>28.72</v>
      </c>
      <c r="Z209" s="4">
        <v>28.87</v>
      </c>
      <c r="AA209" s="4">
        <v>30.95</v>
      </c>
      <c r="AB209" s="4">
        <v>30.86</v>
      </c>
      <c r="AC209" s="4">
        <v>30</v>
      </c>
      <c r="AD209" s="4">
        <v>29.82</v>
      </c>
      <c r="AE209" s="4">
        <v>27.46</v>
      </c>
      <c r="AF209" s="4">
        <v>27.35</v>
      </c>
      <c r="AG209" s="4">
        <v>29.17</v>
      </c>
      <c r="AH209" s="4">
        <v>27.65</v>
      </c>
      <c r="AI209" s="4">
        <v>27.03</v>
      </c>
      <c r="AJ209" s="4">
        <v>26.14</v>
      </c>
      <c r="AK209" s="4">
        <v>26.71</v>
      </c>
      <c r="AL209" s="4">
        <v>28.2</v>
      </c>
      <c r="AM209" s="4">
        <v>29.91</v>
      </c>
      <c r="AN209" s="4">
        <v>34.06</v>
      </c>
      <c r="AO209" s="4">
        <v>33.54</v>
      </c>
      <c r="AP209" s="4">
        <v>34.4</v>
      </c>
      <c r="AQ209" s="4">
        <v>35.06</v>
      </c>
      <c r="AR209" s="4">
        <v>34.96</v>
      </c>
      <c r="AS209" s="4">
        <v>34.119999999999997</v>
      </c>
      <c r="AT209" s="4">
        <v>33.47</v>
      </c>
      <c r="AU209" s="4">
        <v>34.575000000000003</v>
      </c>
      <c r="AV209" s="4">
        <v>33.4</v>
      </c>
      <c r="AW209" s="4">
        <v>34.15</v>
      </c>
      <c r="AX209" s="4">
        <v>34.700000000000003</v>
      </c>
      <c r="AY209" s="12">
        <v>36.64</v>
      </c>
      <c r="AZ209" s="12">
        <v>37.520000000000003</v>
      </c>
      <c r="BA209" s="12">
        <v>37.619999999999997</v>
      </c>
      <c r="BB209" s="15">
        <v>38.020000000000003</v>
      </c>
      <c r="BC209" s="52">
        <v>40.67</v>
      </c>
      <c r="BD209" s="52">
        <v>42.5</v>
      </c>
      <c r="BE209" s="52">
        <v>42.21</v>
      </c>
      <c r="BF209" s="52">
        <v>40.98</v>
      </c>
      <c r="BG209" s="67">
        <v>41.04</v>
      </c>
      <c r="BH209" s="52">
        <v>40.89</v>
      </c>
      <c r="BI209" s="52">
        <v>41.52</v>
      </c>
      <c r="BJ209" s="52">
        <v>43.11</v>
      </c>
      <c r="BK209" s="52">
        <v>41.09</v>
      </c>
      <c r="BL209" s="52">
        <v>41.7</v>
      </c>
      <c r="BM209" s="52">
        <v>43</v>
      </c>
      <c r="BN209" s="52">
        <v>43.8</v>
      </c>
      <c r="BO209" s="52" cm="1">
        <f t="array" aca="1" ref="BO209" ca="1">_FV(EC209,"Preço")</f>
        <v>43.8</v>
      </c>
      <c r="BP209" s="69" t="s">
        <v>32</v>
      </c>
      <c r="BQ209" s="36" cm="1">
        <f t="array" aca="1" ref="BQ209" ca="1">_FV(EC209,"Média de volume",TRUE)</f>
        <v>3242320</v>
      </c>
      <c r="BR209" s="36">
        <v>2406900</v>
      </c>
      <c r="BS209" s="36" cm="1">
        <f t="array" aca="1" ref="BS209" ca="1">_FV(EC209,"Volume")</f>
        <v>2406900</v>
      </c>
      <c r="BT209" s="24" cm="1">
        <f t="array" aca="1" ref="BT209" ca="1">_FV(EC209,"Beta")</f>
        <v>0.97519999999999996</v>
      </c>
      <c r="BU209" s="71" cm="1">
        <f t="array" aca="1" ref="BU209" ca="1">_FV(EC209,"Variação (%)",TRUE)</f>
        <v>4.3569999999999998E-3</v>
      </c>
      <c r="BW209" s="17" cm="1">
        <f t="array" aca="1" ref="BW209" ca="1">_FV(EC209,"Baixo")</f>
        <v>43.11</v>
      </c>
      <c r="BX209" s="17" cm="1">
        <f t="array" aca="1" ref="BX209" ca="1">_FV(EC209,"Alto")</f>
        <v>44.19</v>
      </c>
      <c r="BY209" s="24"/>
      <c r="BZ209" s="63">
        <f ca="1">SQRT(22.5*(BO209/VLOOKUP(BP209,Fundamentus!A:U,3,FALSE))*(BO209/VLOOKUP(BP209,Fundamentus!A:U,4,FALSE)))</f>
        <v>15.705371235532033</v>
      </c>
      <c r="CB209" s="62">
        <f t="shared" ca="1" si="241"/>
        <v>0</v>
      </c>
      <c r="CC209" s="8"/>
      <c r="CD209" s="61">
        <f t="shared" si="242"/>
        <v>26.14</v>
      </c>
      <c r="CE209" s="61">
        <f t="shared" si="243"/>
        <v>43.8</v>
      </c>
      <c r="CF209" s="61">
        <f t="shared" si="244"/>
        <v>32.661590909090918</v>
      </c>
      <c r="CG209" s="14"/>
      <c r="CH209" s="35">
        <f t="shared" si="227"/>
        <v>42.768606282732563</v>
      </c>
      <c r="CI209" s="15">
        <f t="shared" si="245"/>
        <v>44.755000000000109</v>
      </c>
      <c r="CJ209" s="35">
        <f t="shared" si="228"/>
        <v>46.741393717267655</v>
      </c>
      <c r="CL209" s="14"/>
      <c r="CM209" s="17">
        <f t="shared" si="229"/>
        <v>14.366666666666674</v>
      </c>
      <c r="CN209" s="17">
        <f t="shared" si="230"/>
        <v>20.253333333333337</v>
      </c>
      <c r="CO209" s="17">
        <f t="shared" si="231"/>
        <v>32.026666666666671</v>
      </c>
      <c r="CP209" s="38">
        <f t="shared" si="246"/>
        <v>37.913333333333334</v>
      </c>
      <c r="CQ209" s="17">
        <f t="shared" si="232"/>
        <v>49.686666666666667</v>
      </c>
      <c r="CR209" s="17">
        <f t="shared" si="233"/>
        <v>55.573333333333331</v>
      </c>
      <c r="CS209" s="17">
        <f t="shared" si="234"/>
        <v>67.346666666666664</v>
      </c>
      <c r="CT209" s="2" cm="1">
        <f t="array" aca="1" ref="CT209" ca="1">MAX(_xlfn._xlws.FILTER(CM209:CS209,CM209:CS209&lt;BO209))</f>
        <v>37.913333333333334</v>
      </c>
      <c r="CU209" s="2" cm="1">
        <f t="array" aca="1" ref="CU209" ca="1">MIN(_xlfn._xlws.FILTER($CM209:$CS209,$CM209:$CS209&gt;BO209))</f>
        <v>49.686666666666667</v>
      </c>
      <c r="CV209" s="16">
        <f t="shared" ca="1" si="248"/>
        <v>0.31053279409178836</v>
      </c>
      <c r="CW209" s="20">
        <f t="shared" ca="1" si="249"/>
        <v>-0.15526639704589418</v>
      </c>
      <c r="CX209" s="20">
        <f t="shared" ca="1" si="250"/>
        <v>-0.10351093136392946</v>
      </c>
      <c r="CY209" s="20">
        <f t="shared" ca="1" si="251"/>
        <v>-6.2106558818357673E-2</v>
      </c>
      <c r="CZ209" s="20">
        <f t="shared" ca="1" si="252"/>
        <v>-3.4503643787976483E-2</v>
      </c>
      <c r="DA209" s="20">
        <f t="shared" ca="1" si="253"/>
        <v>-1.8266634946575787E-2</v>
      </c>
      <c r="DB209" s="20">
        <f t="shared" ca="1" si="254"/>
        <v>-9.4100846694481315E-3</v>
      </c>
      <c r="DC209" s="20">
        <f t="shared" ca="1" si="255"/>
        <v>-4.7774276014121283E-3</v>
      </c>
      <c r="DD209" s="21">
        <f t="shared" ca="1" si="256"/>
        <v>4.7774276014121283E-3</v>
      </c>
      <c r="DE209" s="21">
        <f t="shared" ca="1" si="257"/>
        <v>9.4100846694481315E-3</v>
      </c>
      <c r="DF209" s="21">
        <f t="shared" ca="1" si="258"/>
        <v>1.8266634946575787E-2</v>
      </c>
      <c r="DG209" s="21">
        <f t="shared" ca="1" si="259"/>
        <v>3.4503643787976483E-2</v>
      </c>
      <c r="DH209" s="21">
        <f t="shared" ca="1" si="260"/>
        <v>6.2106558818357673E-2</v>
      </c>
      <c r="DI209" s="21">
        <f t="shared" ca="1" si="261"/>
        <v>0.10351093136392946</v>
      </c>
      <c r="DJ209" s="21">
        <f t="shared" ca="1" si="262"/>
        <v>0.15526639704589418</v>
      </c>
      <c r="DL209" s="16" cm="1">
        <f t="array" aca="1" ref="DL209" ca="1">MAX(_xlfn._xlws.FILTER(CW209:DJ209,CW209:DJ209&lt;BU209))</f>
        <v>-4.7774276014121283E-3</v>
      </c>
      <c r="DM209" s="16" cm="1">
        <f t="array" aca="1" ref="DM209" ca="1">MIN(_xlfn._xlws.FILTER(CW209:DJ209,CW209:DJ209&gt;BU209))</f>
        <v>4.7774276014121283E-3</v>
      </c>
      <c r="DN209" s="2" cm="1">
        <f t="array" aca="1" ref="DN209" ca="1">_FV(EC209,"Fechamento anterior",TRUE)</f>
        <v>43.61</v>
      </c>
      <c r="DO209" s="28">
        <f t="shared" ca="1" si="235"/>
        <v>0.95597749069470328</v>
      </c>
      <c r="DP209" s="15">
        <f t="shared" ca="1" si="263"/>
        <v>43.40165638230242</v>
      </c>
      <c r="DQ209" s="15">
        <f t="shared" ca="1" si="264"/>
        <v>43.818343617697579</v>
      </c>
      <c r="DR209" s="9"/>
      <c r="DS209" s="9"/>
      <c r="DT209" s="9"/>
      <c r="DU209" s="89">
        <v>9.021388705931296E-3</v>
      </c>
      <c r="DV209" s="89">
        <f t="shared" ca="1" si="236"/>
        <v>9.5548552028242566E-3</v>
      </c>
      <c r="DW209" s="72">
        <f t="shared" ca="1" si="237"/>
        <v>-0.48077075138648534</v>
      </c>
      <c r="DX209" s="37"/>
      <c r="DY209" s="35">
        <f t="shared" si="247"/>
        <v>0.99319685863377338</v>
      </c>
      <c r="DZ209" s="56"/>
      <c r="EA209" s="56"/>
      <c r="EC209" s="2" t="e" vm="211">
        <v>#VALUE!</v>
      </c>
      <c r="EE209" s="10" cm="1">
        <f t="array" aca="1" ref="EE209" ca="1">_FV(EC209,"Ações em circulação",TRUE)</f>
        <v>599401600</v>
      </c>
      <c r="EF209" s="18">
        <f>VLOOKUP(BP209,Fundamentus!A:U,5,FALSE)</f>
        <v>4.7249999999999996</v>
      </c>
      <c r="EG209" s="2">
        <f t="shared" ca="1" si="238"/>
        <v>5556357688.8888893</v>
      </c>
      <c r="EH209" s="17">
        <v>824007845.26222217</v>
      </c>
      <c r="EI209" s="17">
        <f t="shared" ca="1" si="239"/>
        <v>824007845.26222217</v>
      </c>
      <c r="EK209" s="16">
        <f t="shared" ca="1" si="226"/>
        <v>0</v>
      </c>
      <c r="EL209" s="32" t="str">
        <f>IF(VLOOKUP(BP209,Fundamentus!A:U,3,FALSE)&lt;15,"Bom",IF(VLOOKUP(BP209,Fundamentus!A:U,3,FALSE)&gt;15,"Ruim","n/a"))</f>
        <v>Ruim</v>
      </c>
      <c r="EM209" s="28" t="str">
        <f>IF(VLOOKUP(BP209,Fundamentus!A:U,4,FALSE)&lt;1,"Baixo",IF(VLOOKUP(BP209,Fundamentus!A:U,4,FALSE)&lt;1.5,"Moderado",IF(VLOOKUP(BP209,Fundamentus!A:U,4,FALSE)&gt;1.5,"Alto","n/a")))</f>
        <v>Alto</v>
      </c>
      <c r="EN209" s="17" t="str">
        <f>IF(VLOOKUP(BP209,Fundamentus!A:U,8,FALSE)&lt;0,"Risco elevado",IF(VLOOKUP(BP209,Fundamentus!A:U,8,FALSE)&lt;1,"Saudável",IF(VLOOKUP(BP209,Fundamentus!A:U,8,FALSE)&lt;3,"Estável",IF(VLOOKUP(BP209,Fundamentus!A:U,8,FALSE)&gt;3,"Alerta","n/a"))))</f>
        <v>Alerta</v>
      </c>
      <c r="EO209" s="28" t="str">
        <f t="shared" si="240"/>
        <v>Bom</v>
      </c>
      <c r="EP209" s="17" t="str">
        <f>IF(VLOOKUP(BP209,Fundamentus!A:U,12,FALSE)&lt;2,"Subvalorizada",IF(VLOOKUP(BP209,Fundamentus!A:U,12,FALSE)&lt;6,"Muita barata",IF(VLOOKUP(BP209,Fundamentus!A:U,12,FALSE)&lt;6,"Barata",IF(VLOOKUP(BP209,Fundamentus!A:U,12,FALSE)&lt;8,"Atrativa",IF(VLOOKUP(BP209,Fundamentus!A:U,12,FALSE)&gt;8,"Supervalorizada","n/a")))))</f>
        <v>Supervalorizada</v>
      </c>
      <c r="ER209" s="17" t="str">
        <f>IF(VLOOKUP(BP209,Fundamentus!A:U,17,FALSE)&lt;0.1,"Fraco retorno",IF(VLOOKUP(BP209,Fundamentus!A:U,17,FALSE)&gt;0.1,"Bom retorno","n/a"))</f>
        <v>Bom retorno</v>
      </c>
      <c r="ES209" s="17" t="str">
        <f>IF(VLOOKUP(BP209,Fundamentus!A:U,16,FALSE)&lt;0.1,"Ineficiente",IF(VLOOKUP(BP209,Fundamentus!A:U,16,FALSE)&gt;0.1,"Eficiente","n/a"))</f>
        <v>Eficiente</v>
      </c>
      <c r="ET209" s="33" t="str">
        <f>IF(VLOOKUP(BP209,Fundamentus!A:U,16,FALSE)&lt;0.1,"Oper. Ineficiente",IF(VLOOKUP(BP209,Fundamentus!A:U,16,FALSE)&gt;0.1,"Oper.Eficiente","n/a"))</f>
        <v>Oper.Eficiente</v>
      </c>
      <c r="EU209" s="34">
        <f>VLOOKUP(BP209,Fundamentus!A:U,14,FALSE)</f>
        <v>0.14829999999999999</v>
      </c>
      <c r="EV209" s="17" t="str">
        <f>IF(VLOOKUP(BP209,Fundamentus!A:U,21,FALSE)&lt;0,"Negativo",IF(VLOOKUP(BP209,Fundamentus!A:U,21,FALSE)&lt;0.05,"Fraco",IF(VLOOKUP(BP209,Fundamentus!A:U,21,FALSE)&lt;0.1,"Bom",IF(VLOOKUP(BP209,Fundamentus!A:U,21,FALSE)&gt;0.1,"Muito bom","n/a"))))</f>
        <v>Muito bom</v>
      </c>
      <c r="EX209" s="29" t="str">
        <f>IF(VLOOKUP(BP209,Fundamentus!A:U,15,FALSE)&gt;1,"Bom",IF(VLOOKUP(BP209,Fundamentus!A:U,15,FALSE)&lt;1,"Ruim","n/a"))</f>
        <v>Bom</v>
      </c>
      <c r="EY209" s="17" t="str">
        <f>IF(VLOOKUP(BP209,Fundamentus!A:U,20,FALSE)&lt;0.5,"Baixa",IF(VLOOKUP(BP209,Fundamentus!A:U,20,FALSE)&lt;1,"Moderada",IF(VLOOKUP(BP209,Fundamentus!A:U,20,FALSE)&lt;2,"Alerta",IF(VLOOKUP(BP209,Fundamentus!A:U,20,FALSE)&gt;2,"Alta","n/a"))))</f>
        <v>Baixa</v>
      </c>
      <c r="EZ209" s="10">
        <v>4</v>
      </c>
    </row>
    <row r="210" spans="1:156" s="2" customFormat="1" ht="11.25" x14ac:dyDescent="0.2">
      <c r="A210" s="4">
        <v>16.18</v>
      </c>
      <c r="B210" s="4">
        <v>16.12</v>
      </c>
      <c r="C210" s="4">
        <v>12.9</v>
      </c>
      <c r="D210" s="4">
        <v>13.63</v>
      </c>
      <c r="E210" s="4">
        <v>12.09</v>
      </c>
      <c r="F210" s="4">
        <v>11.38</v>
      </c>
      <c r="G210" s="4">
        <v>11.22</v>
      </c>
      <c r="H210" s="4">
        <v>10.84</v>
      </c>
      <c r="I210" s="4">
        <v>10.4</v>
      </c>
      <c r="J210" s="4">
        <v>11.71</v>
      </c>
      <c r="K210" s="4">
        <v>11.96</v>
      </c>
      <c r="L210" s="4">
        <v>11.3</v>
      </c>
      <c r="M210" s="4">
        <v>11</v>
      </c>
      <c r="N210" s="4">
        <v>10.75</v>
      </c>
      <c r="O210" s="4">
        <v>10.33</v>
      </c>
      <c r="P210" s="4">
        <v>9.77</v>
      </c>
      <c r="Q210" s="4">
        <v>10.31</v>
      </c>
      <c r="R210" s="4">
        <v>9.85</v>
      </c>
      <c r="S210" s="4">
        <v>9.61</v>
      </c>
      <c r="T210" s="4">
        <v>10.91</v>
      </c>
      <c r="U210" s="4">
        <v>9.93</v>
      </c>
      <c r="V210" s="4">
        <v>9.27</v>
      </c>
      <c r="W210" s="4">
        <v>10.17</v>
      </c>
      <c r="X210" s="4">
        <v>10.32</v>
      </c>
      <c r="Y210" s="4">
        <v>10.41</v>
      </c>
      <c r="Z210" s="4">
        <v>10.68</v>
      </c>
      <c r="AA210" s="4">
        <v>10.14</v>
      </c>
      <c r="AB210" s="4">
        <v>10.18</v>
      </c>
      <c r="AC210" s="4">
        <v>10.24</v>
      </c>
      <c r="AD210" s="4">
        <v>10.15</v>
      </c>
      <c r="AE210" s="4">
        <v>9.25</v>
      </c>
      <c r="AF210" s="4">
        <v>8.2899999999999991</v>
      </c>
      <c r="AG210" s="4">
        <v>8.35</v>
      </c>
      <c r="AH210" s="4">
        <v>8.41</v>
      </c>
      <c r="AI210" s="4">
        <v>8.32</v>
      </c>
      <c r="AJ210" s="4">
        <v>8.0399999999999991</v>
      </c>
      <c r="AK210" s="4">
        <v>8.9700000000000006</v>
      </c>
      <c r="AL210" s="4">
        <v>8.58</v>
      </c>
      <c r="AM210" s="4">
        <v>9.25</v>
      </c>
      <c r="AN210" s="4">
        <v>10.25</v>
      </c>
      <c r="AO210" s="4">
        <v>10.5</v>
      </c>
      <c r="AP210" s="4">
        <v>11.55</v>
      </c>
      <c r="AQ210" s="4">
        <v>11.61</v>
      </c>
      <c r="AR210" s="4">
        <v>10.4</v>
      </c>
      <c r="AS210" s="4">
        <v>11.07</v>
      </c>
      <c r="AT210" s="4">
        <v>11.4</v>
      </c>
      <c r="AU210" s="4">
        <v>11.86</v>
      </c>
      <c r="AV210" s="4">
        <v>12.16</v>
      </c>
      <c r="AW210" s="4">
        <v>12.59</v>
      </c>
      <c r="AX210" s="4">
        <v>12.95</v>
      </c>
      <c r="AY210" s="12">
        <v>14.85</v>
      </c>
      <c r="AZ210" s="12">
        <v>14.16</v>
      </c>
      <c r="BA210" s="12">
        <v>14.29</v>
      </c>
      <c r="BB210" s="15">
        <v>15.7</v>
      </c>
      <c r="BC210" s="52">
        <v>15.97</v>
      </c>
      <c r="BD210" s="52">
        <v>15.54</v>
      </c>
      <c r="BE210" s="52">
        <v>15.85</v>
      </c>
      <c r="BF210" s="52">
        <v>17.07</v>
      </c>
      <c r="BG210" s="67">
        <v>16.53</v>
      </c>
      <c r="BH210" s="52">
        <v>16.54</v>
      </c>
      <c r="BI210" s="52">
        <v>16.18</v>
      </c>
      <c r="BJ210" s="52">
        <v>16.329999999999998</v>
      </c>
      <c r="BK210" s="52">
        <v>13.88</v>
      </c>
      <c r="BL210" s="52">
        <v>13.3</v>
      </c>
      <c r="BM210" s="52">
        <v>12.39</v>
      </c>
      <c r="BN210" s="52">
        <v>13.01</v>
      </c>
      <c r="BO210" s="52" cm="1">
        <f t="array" aca="1" ref="BO210" ca="1">_FV(EC210,"Preço")</f>
        <v>13.01</v>
      </c>
      <c r="BP210" s="69" t="s">
        <v>206</v>
      </c>
      <c r="BQ210" s="36" cm="1">
        <f t="array" aca="1" ref="BQ210" ca="1">_FV(EC210,"Média de volume",TRUE)</f>
        <v>4783230</v>
      </c>
      <c r="BR210" s="36">
        <v>5649500</v>
      </c>
      <c r="BS210" s="36" cm="1">
        <f t="array" aca="1" ref="BS210" ca="1">_FV(EC210,"Volume")</f>
        <v>5649500</v>
      </c>
      <c r="BT210" s="24" cm="1">
        <f t="array" aca="1" ref="BT210" ca="1">_FV(EC210,"Beta")</f>
        <v>2.0489999999999999</v>
      </c>
      <c r="BU210" s="71" cm="1">
        <f t="array" aca="1" ref="BU210" ca="1">_FV(EC210,"Variação (%)",TRUE)</f>
        <v>5.4100000000000007E-3</v>
      </c>
      <c r="BW210" s="17" cm="1">
        <f t="array" aca="1" ref="BW210" ca="1">_FV(EC210,"Baixo")</f>
        <v>12.85</v>
      </c>
      <c r="BX210" s="17" cm="1">
        <f t="array" aca="1" ref="BX210" ca="1">_FV(EC210,"Alto")</f>
        <v>13.37</v>
      </c>
      <c r="BY210" s="24"/>
      <c r="BZ210" s="63">
        <f ca="1">SQRT(22.5*(BO210/VLOOKUP(BP210,Fundamentus!A:U,3,FALSE))*(BO210/VLOOKUP(BP210,Fundamentus!A:U,4,FALSE)))</f>
        <v>17.226122771835531</v>
      </c>
      <c r="CB210" s="62">
        <f t="shared" ca="1" si="241"/>
        <v>0</v>
      </c>
      <c r="CC210" s="8"/>
      <c r="CD210" s="61">
        <f t="shared" si="242"/>
        <v>8.0399999999999991</v>
      </c>
      <c r="CE210" s="61">
        <f t="shared" si="243"/>
        <v>17.07</v>
      </c>
      <c r="CF210" s="61">
        <f t="shared" si="244"/>
        <v>11.805151515151517</v>
      </c>
      <c r="CG210" s="14"/>
      <c r="CH210" s="35">
        <f t="shared" si="227"/>
        <v>9.5420780400462792</v>
      </c>
      <c r="CI210" s="15">
        <f t="shared" si="245"/>
        <v>12.265000000000327</v>
      </c>
      <c r="CJ210" s="35">
        <f t="shared" si="228"/>
        <v>14.987921959954376</v>
      </c>
      <c r="CL210" s="14"/>
      <c r="CM210" s="17">
        <f t="shared" si="229"/>
        <v>-0.68666666666667098</v>
      </c>
      <c r="CN210" s="17">
        <f t="shared" si="230"/>
        <v>3.6766666666666641</v>
      </c>
      <c r="CO210" s="17">
        <f t="shared" si="231"/>
        <v>8.3433333333333302</v>
      </c>
      <c r="CP210" s="38">
        <f t="shared" si="246"/>
        <v>12.706666666666665</v>
      </c>
      <c r="CQ210" s="17">
        <f t="shared" si="232"/>
        <v>17.373333333333331</v>
      </c>
      <c r="CR210" s="17">
        <f t="shared" si="233"/>
        <v>21.736666666666665</v>
      </c>
      <c r="CS210" s="17">
        <f t="shared" si="234"/>
        <v>26.403333333333332</v>
      </c>
      <c r="CT210" s="2" cm="1">
        <f t="array" aca="1" ref="CT210" ca="1">MAX(_xlfn._xlws.FILTER(CM210:CS210,CM210:CS210&lt;BO210))</f>
        <v>12.706666666666665</v>
      </c>
      <c r="CU210" s="2" cm="1">
        <f t="array" aca="1" ref="CU210" ca="1">MIN(_xlfn._xlws.FILTER($CM210:$CS210,$CM210:$CS210&gt;BO210))</f>
        <v>17.373333333333331</v>
      </c>
      <c r="CV210" s="16">
        <f t="shared" ca="1" si="248"/>
        <v>0.36726128016789095</v>
      </c>
      <c r="CW210" s="20">
        <f t="shared" ca="1" si="249"/>
        <v>-0.18363064008394547</v>
      </c>
      <c r="CX210" s="20">
        <f t="shared" ca="1" si="250"/>
        <v>-0.12242042672263032</v>
      </c>
      <c r="CY210" s="20">
        <f t="shared" ca="1" si="251"/>
        <v>-7.3452256033578189E-2</v>
      </c>
      <c r="CZ210" s="20">
        <f t="shared" ca="1" si="252"/>
        <v>-4.0806808907543436E-2</v>
      </c>
      <c r="DA210" s="20">
        <f t="shared" ca="1" si="253"/>
        <v>-2.1603604715758291E-2</v>
      </c>
      <c r="DB210" s="20">
        <f t="shared" ca="1" si="254"/>
        <v>-1.1129129702057301E-2</v>
      </c>
      <c r="DC210" s="20">
        <f t="shared" ca="1" si="255"/>
        <v>-5.6501735410444762E-3</v>
      </c>
      <c r="DD210" s="21">
        <f t="shared" ca="1" si="256"/>
        <v>5.6501735410444762E-3</v>
      </c>
      <c r="DE210" s="21">
        <f t="shared" ca="1" si="257"/>
        <v>1.1129129702057301E-2</v>
      </c>
      <c r="DF210" s="21">
        <f t="shared" ca="1" si="258"/>
        <v>2.1603604715758291E-2</v>
      </c>
      <c r="DG210" s="21">
        <f t="shared" ca="1" si="259"/>
        <v>4.0806808907543436E-2</v>
      </c>
      <c r="DH210" s="21">
        <f t="shared" ca="1" si="260"/>
        <v>7.3452256033578189E-2</v>
      </c>
      <c r="DI210" s="21">
        <f t="shared" ca="1" si="261"/>
        <v>0.12242042672263032</v>
      </c>
      <c r="DJ210" s="21">
        <f t="shared" ca="1" si="262"/>
        <v>0.18363064008394547</v>
      </c>
      <c r="DL210" s="16" cm="1">
        <f t="array" aca="1" ref="DL210" ca="1">MAX(_xlfn._xlws.FILTER(CW210:DJ210,CW210:DJ210&lt;BU210))</f>
        <v>-5.6501735410444762E-3</v>
      </c>
      <c r="DM210" s="16" cm="1">
        <f t="array" aca="1" ref="DM210" ca="1">MIN(_xlfn._xlws.FILTER(CW210:DJ210,CW210:DJ210&gt;BU210))</f>
        <v>5.6501735410444762E-3</v>
      </c>
      <c r="DN210" s="2" cm="1">
        <f t="array" aca="1" ref="DN210" ca="1">_FV(EC210,"Fechamento anterior",TRUE)</f>
        <v>12.94</v>
      </c>
      <c r="DO210" s="28">
        <f t="shared" ca="1" si="235"/>
        <v>0.97870942812983097</v>
      </c>
      <c r="DP210" s="15">
        <f t="shared" ca="1" si="263"/>
        <v>12.866886754378884</v>
      </c>
      <c r="DQ210" s="15">
        <f t="shared" ca="1" si="264"/>
        <v>13.013113245621115</v>
      </c>
      <c r="DR210" s="9"/>
      <c r="DS210" s="9"/>
      <c r="DT210" s="9"/>
      <c r="DU210" s="89">
        <v>2.6133582419040773E-2</v>
      </c>
      <c r="DV210" s="89">
        <f t="shared" ca="1" si="236"/>
        <v>1.1300347082088952E-2</v>
      </c>
      <c r="DW210" s="72">
        <f t="shared" ca="1" si="237"/>
        <v>0.27360314065418345</v>
      </c>
      <c r="DX210" s="37"/>
      <c r="DY210" s="35">
        <f t="shared" si="247"/>
        <v>1.3614609799770239</v>
      </c>
      <c r="DZ210" s="56"/>
      <c r="EA210" s="56"/>
      <c r="EC210" s="2" t="e" vm="212">
        <v>#VALUE!</v>
      </c>
      <c r="EE210" s="10" cm="1">
        <f t="array" aca="1" ref="EE210" ca="1">_FV(EC210,"Ações em circulação",TRUE)</f>
        <v>274088800</v>
      </c>
      <c r="EF210" s="18">
        <f>VLOOKUP(BP210,Fundamentus!A:U,5,FALSE)</f>
        <v>0.66300000000000003</v>
      </c>
      <c r="EG210" s="2">
        <f t="shared" ca="1" si="238"/>
        <v>5378424265.4600296</v>
      </c>
      <c r="EH210" s="17">
        <v>319478401.36832577</v>
      </c>
      <c r="EI210" s="17">
        <f t="shared" ca="1" si="239"/>
        <v>319478401.36832577</v>
      </c>
      <c r="EK210" s="16">
        <f t="shared" ca="1" si="226"/>
        <v>0</v>
      </c>
      <c r="EL210" s="32" t="str">
        <f>IF(VLOOKUP(BP210,Fundamentus!A:U,3,FALSE)&lt;15,"Bom",IF(VLOOKUP(BP210,Fundamentus!A:U,3,FALSE)&gt;15,"Ruim","n/a"))</f>
        <v>Bom</v>
      </c>
      <c r="EM210" s="28" t="str">
        <f>IF(VLOOKUP(BP210,Fundamentus!A:U,4,FALSE)&lt;1,"Baixo",IF(VLOOKUP(BP210,Fundamentus!A:U,4,FALSE)&lt;1.5,"Moderado",IF(VLOOKUP(BP210,Fundamentus!A:U,4,FALSE)&gt;1.5,"Alto","n/a")))</f>
        <v>Moderado</v>
      </c>
      <c r="EN210" s="17" t="str">
        <f>IF(VLOOKUP(BP210,Fundamentus!A:U,8,FALSE)&lt;0,"Risco elevado",IF(VLOOKUP(BP210,Fundamentus!A:U,8,FALSE)&lt;1,"Saudável",IF(VLOOKUP(BP210,Fundamentus!A:U,8,FALSE)&lt;3,"Estável",IF(VLOOKUP(BP210,Fundamentus!A:U,8,FALSE)&gt;3,"Alerta","n/a"))))</f>
        <v>Alerta</v>
      </c>
      <c r="EO210" s="28" t="str">
        <f t="shared" si="240"/>
        <v>Ruim</v>
      </c>
      <c r="EP210" s="17" t="str">
        <f>IF(VLOOKUP(BP210,Fundamentus!A:U,12,FALSE)&lt;2,"Subvalorizada",IF(VLOOKUP(BP210,Fundamentus!A:U,12,FALSE)&lt;6,"Muita barata",IF(VLOOKUP(BP210,Fundamentus!A:U,12,FALSE)&lt;6,"Barata",IF(VLOOKUP(BP210,Fundamentus!A:U,12,FALSE)&lt;8,"Atrativa",IF(VLOOKUP(BP210,Fundamentus!A:U,12,FALSE)&gt;8,"Supervalorizada","n/a")))))</f>
        <v>Muita barata</v>
      </c>
      <c r="ER210" s="17" t="str">
        <f>IF(VLOOKUP(BP210,Fundamentus!A:U,17,FALSE)&lt;0.1,"Fraco retorno",IF(VLOOKUP(BP210,Fundamentus!A:U,17,FALSE)&gt;0.1,"Bom retorno","n/a"))</f>
        <v>Bom retorno</v>
      </c>
      <c r="ES210" s="17" t="str">
        <f>IF(VLOOKUP(BP210,Fundamentus!A:U,16,FALSE)&lt;0.1,"Ineficiente",IF(VLOOKUP(BP210,Fundamentus!A:U,16,FALSE)&gt;0.1,"Eficiente","n/a"))</f>
        <v>Eficiente</v>
      </c>
      <c r="ET210" s="33" t="str">
        <f>IF(VLOOKUP(BP210,Fundamentus!A:U,16,FALSE)&lt;0.1,"Oper. Ineficiente",IF(VLOOKUP(BP210,Fundamentus!A:U,16,FALSE)&gt;0.1,"Oper.Eficiente","n/a"))</f>
        <v>Oper.Eficiente</v>
      </c>
      <c r="EU210" s="34">
        <f>VLOOKUP(BP210,Fundamentus!A:U,14,FALSE)</f>
        <v>5.9400000000000001E-2</v>
      </c>
      <c r="EV210" s="17" t="str">
        <f>IF(VLOOKUP(BP210,Fundamentus!A:U,21,FALSE)&lt;0,"Negativo",IF(VLOOKUP(BP210,Fundamentus!A:U,21,FALSE)&lt;0.05,"Fraco",IF(VLOOKUP(BP210,Fundamentus!A:U,21,FALSE)&lt;0.1,"Bom",IF(VLOOKUP(BP210,Fundamentus!A:U,21,FALSE)&gt;0.1,"Muito bom","n/a"))))</f>
        <v>Bom</v>
      </c>
      <c r="EX210" s="29" t="str">
        <f>IF(VLOOKUP(BP210,Fundamentus!A:U,15,FALSE)&gt;1,"Bom",IF(VLOOKUP(BP210,Fundamentus!A:U,15,FALSE)&lt;1,"Ruim","n/a"))</f>
        <v>Bom</v>
      </c>
      <c r="EY210" s="17" t="str">
        <f>IF(VLOOKUP(BP210,Fundamentus!A:U,20,FALSE)&lt;0.5,"Baixa",IF(VLOOKUP(BP210,Fundamentus!A:U,20,FALSE)&lt;1,"Moderada",IF(VLOOKUP(BP210,Fundamentus!A:U,20,FALSE)&lt;2,"Alerta",IF(VLOOKUP(BP210,Fundamentus!A:U,20,FALSE)&gt;2,"Alta","n/a"))))</f>
        <v>Alerta</v>
      </c>
    </row>
    <row r="211" spans="1:156" s="2" customFormat="1" ht="11.25" x14ac:dyDescent="0.2">
      <c r="A211" s="4">
        <v>12.01</v>
      </c>
      <c r="B211" s="4">
        <v>10.61</v>
      </c>
      <c r="C211" s="4">
        <v>10.55</v>
      </c>
      <c r="D211" s="4">
        <v>10.07</v>
      </c>
      <c r="E211" s="4">
        <v>10.5</v>
      </c>
      <c r="F211" s="4">
        <v>9.7200000000000006</v>
      </c>
      <c r="G211" s="4">
        <v>9.06</v>
      </c>
      <c r="H211" s="4">
        <v>9.44</v>
      </c>
      <c r="I211" s="4">
        <v>9.4</v>
      </c>
      <c r="J211" s="4">
        <v>9.99</v>
      </c>
      <c r="K211" s="4">
        <v>10.07</v>
      </c>
      <c r="L211" s="4">
        <v>9.98</v>
      </c>
      <c r="M211" s="4">
        <v>9.61</v>
      </c>
      <c r="N211" s="4">
        <v>9.57</v>
      </c>
      <c r="O211" s="4">
        <v>8.98</v>
      </c>
      <c r="P211" s="4">
        <v>9.15</v>
      </c>
      <c r="Q211" s="4">
        <v>9.68</v>
      </c>
      <c r="R211" s="4">
        <v>9.91</v>
      </c>
      <c r="S211" s="4">
        <v>9.6199999999999992</v>
      </c>
      <c r="T211" s="4">
        <v>9.68</v>
      </c>
      <c r="U211" s="4">
        <v>9.27</v>
      </c>
      <c r="V211" s="4">
        <v>9.08</v>
      </c>
      <c r="W211" s="4">
        <v>7.54</v>
      </c>
      <c r="X211" s="4">
        <v>7.55</v>
      </c>
      <c r="Y211" s="4">
        <v>7.6</v>
      </c>
      <c r="Z211" s="4">
        <v>7.55</v>
      </c>
      <c r="AA211" s="4">
        <v>7.61</v>
      </c>
      <c r="AB211" s="4">
        <v>7.7</v>
      </c>
      <c r="AC211" s="4">
        <v>6.98</v>
      </c>
      <c r="AD211" s="4">
        <v>7.28</v>
      </c>
      <c r="AE211" s="4">
        <v>6.78</v>
      </c>
      <c r="AF211" s="4">
        <v>6.68</v>
      </c>
      <c r="AG211" s="4">
        <v>6.2</v>
      </c>
      <c r="AH211" s="4">
        <v>6.01</v>
      </c>
      <c r="AI211" s="4">
        <v>5.42</v>
      </c>
      <c r="AJ211" s="4">
        <v>5.66</v>
      </c>
      <c r="AK211" s="4">
        <v>5.4</v>
      </c>
      <c r="AL211" s="4">
        <v>5.34</v>
      </c>
      <c r="AM211" s="4">
        <v>5.17</v>
      </c>
      <c r="AN211" s="4">
        <v>5.61</v>
      </c>
      <c r="AO211" s="4">
        <v>5.56</v>
      </c>
      <c r="AP211" s="4">
        <v>6.09</v>
      </c>
      <c r="AQ211" s="4">
        <v>5.86</v>
      </c>
      <c r="AR211" s="4">
        <v>5.39</v>
      </c>
      <c r="AS211" s="4">
        <v>5.64</v>
      </c>
      <c r="AT211" s="4">
        <v>5.44</v>
      </c>
      <c r="AU211" s="4">
        <v>5.62</v>
      </c>
      <c r="AV211" s="4">
        <v>5.42</v>
      </c>
      <c r="AW211" s="4">
        <v>5.4</v>
      </c>
      <c r="AX211" s="4">
        <v>5.65</v>
      </c>
      <c r="AY211" s="12">
        <v>6.27</v>
      </c>
      <c r="AZ211" s="12">
        <v>6.81</v>
      </c>
      <c r="BA211" s="12">
        <v>6.74</v>
      </c>
      <c r="BB211" s="15">
        <v>6.67</v>
      </c>
      <c r="BC211" s="52">
        <v>6.59</v>
      </c>
      <c r="BD211" s="52">
        <v>6.32</v>
      </c>
      <c r="BE211" s="52">
        <v>6.22</v>
      </c>
      <c r="BF211" s="52">
        <v>5.83</v>
      </c>
      <c r="BG211" s="67">
        <v>6.02</v>
      </c>
      <c r="BH211" s="52">
        <v>6.2</v>
      </c>
      <c r="BI211" s="52">
        <v>5.85</v>
      </c>
      <c r="BJ211" s="52">
        <v>5.99</v>
      </c>
      <c r="BK211" s="52">
        <v>5.6</v>
      </c>
      <c r="BL211" s="52">
        <v>5.2</v>
      </c>
      <c r="BM211" s="52">
        <v>5.39</v>
      </c>
      <c r="BN211" s="52">
        <v>5.13</v>
      </c>
      <c r="BO211" s="52" cm="1">
        <f t="array" aca="1" ref="BO211" ca="1">_FV(EC211,"Preço")</f>
        <v>5.13</v>
      </c>
      <c r="BP211" s="69" t="s">
        <v>207</v>
      </c>
      <c r="BQ211" s="36" cm="1">
        <f t="array" aca="1" ref="BQ211" ca="1">_FV(EC211,"Média de volume",TRUE)</f>
        <v>377390</v>
      </c>
      <c r="BR211" s="36">
        <v>584400</v>
      </c>
      <c r="BS211" s="36" cm="1">
        <f t="array" aca="1" ref="BS211" ca="1">_FV(EC211,"Volume")</f>
        <v>584400</v>
      </c>
      <c r="BT211" s="24" cm="1">
        <f t="array" aca="1" ref="BT211" ca="1">_FV(EC211,"Beta")</f>
        <v>1.4782999999999999</v>
      </c>
      <c r="BU211" s="71" cm="1">
        <f t="array" aca="1" ref="BU211" ca="1">_FV(EC211,"Variação (%)",TRUE)</f>
        <v>-1.9119999999999998E-2</v>
      </c>
      <c r="BW211" s="17" cm="1">
        <f t="array" aca="1" ref="BW211" ca="1">_FV(EC211,"Baixo")</f>
        <v>5.13</v>
      </c>
      <c r="BX211" s="17" cm="1">
        <f t="array" aca="1" ref="BX211" ca="1">_FV(EC211,"Alto")</f>
        <v>5.42</v>
      </c>
      <c r="BY211" s="24"/>
      <c r="BZ211" s="63">
        <f ca="1">SQRT(22.5*(BO211/VLOOKUP(BP211,Fundamentus!A:U,3,FALSE))*(BO211/VLOOKUP(BP211,Fundamentus!A:U,4,FALSE)))</f>
        <v>9.5877894816484996</v>
      </c>
      <c r="CB211" s="62">
        <f t="shared" ca="1" si="241"/>
        <v>0</v>
      </c>
      <c r="CC211" s="8"/>
      <c r="CD211" s="61">
        <f t="shared" si="242"/>
        <v>5.13</v>
      </c>
      <c r="CE211" s="61">
        <f t="shared" si="243"/>
        <v>12.01</v>
      </c>
      <c r="CF211" s="61">
        <f t="shared" si="244"/>
        <v>7.377727272727272</v>
      </c>
      <c r="CG211" s="14"/>
      <c r="CH211" s="35">
        <f t="shared" si="227"/>
        <v>4.4041103157565855</v>
      </c>
      <c r="CI211" s="15">
        <f t="shared" si="245"/>
        <v>5.0250000000000909</v>
      </c>
      <c r="CJ211" s="35">
        <f t="shared" si="228"/>
        <v>5.6458896842435964</v>
      </c>
      <c r="CL211" s="14"/>
      <c r="CM211" s="17">
        <f t="shared" si="229"/>
        <v>-4.0433333333333339</v>
      </c>
      <c r="CN211" s="17">
        <f t="shared" si="230"/>
        <v>0.543333333333333</v>
      </c>
      <c r="CO211" s="17">
        <f t="shared" si="231"/>
        <v>2.836666666666666</v>
      </c>
      <c r="CP211" s="38">
        <f t="shared" si="246"/>
        <v>7.4233333333333329</v>
      </c>
      <c r="CQ211" s="17">
        <f t="shared" si="232"/>
        <v>9.716666666666665</v>
      </c>
      <c r="CR211" s="17">
        <f t="shared" si="233"/>
        <v>14.303333333333333</v>
      </c>
      <c r="CS211" s="17">
        <f t="shared" si="234"/>
        <v>16.596666666666664</v>
      </c>
      <c r="CT211" s="2" cm="1">
        <f t="array" aca="1" ref="CT211" ca="1">MAX(_xlfn._xlws.FILTER(CM211:CS211,CM211:CS211&lt;BO211))</f>
        <v>2.836666666666666</v>
      </c>
      <c r="CU211" s="2" cm="1">
        <f t="array" aca="1" ref="CU211" ca="1">MIN(_xlfn._xlws.FILTER($CM211:$CS211,$CM211:$CS211&gt;BO211))</f>
        <v>7.4233333333333329</v>
      </c>
      <c r="CV211" s="16">
        <f t="shared" ca="1" si="248"/>
        <v>1.6169212690951826</v>
      </c>
      <c r="CW211" s="20">
        <f t="shared" ca="1" si="249"/>
        <v>-0.80846063454759132</v>
      </c>
      <c r="CX211" s="20">
        <f t="shared" ca="1" si="250"/>
        <v>-0.53897375636506084</v>
      </c>
      <c r="CY211" s="20">
        <f t="shared" ca="1" si="251"/>
        <v>-0.32338425381903652</v>
      </c>
      <c r="CZ211" s="20">
        <f t="shared" ca="1" si="252"/>
        <v>-0.17965791878835363</v>
      </c>
      <c r="DA211" s="20">
        <f t="shared" ca="1" si="253"/>
        <v>-9.5113015829128386E-2</v>
      </c>
      <c r="DB211" s="20">
        <f t="shared" ca="1" si="254"/>
        <v>-4.8997614215005536E-2</v>
      </c>
      <c r="DC211" s="20">
        <f t="shared" ca="1" si="255"/>
        <v>-2.4875711832233579E-2</v>
      </c>
      <c r="DD211" s="21">
        <f t="shared" ca="1" si="256"/>
        <v>2.4875711832233579E-2</v>
      </c>
      <c r="DE211" s="21">
        <f t="shared" ca="1" si="257"/>
        <v>4.8997614215005536E-2</v>
      </c>
      <c r="DF211" s="21">
        <f t="shared" ca="1" si="258"/>
        <v>9.5113015829128386E-2</v>
      </c>
      <c r="DG211" s="21">
        <f t="shared" ca="1" si="259"/>
        <v>0.17965791878835363</v>
      </c>
      <c r="DH211" s="21">
        <f t="shared" ca="1" si="260"/>
        <v>0.32338425381903652</v>
      </c>
      <c r="DI211" s="21">
        <f t="shared" ca="1" si="261"/>
        <v>0.53897375636506084</v>
      </c>
      <c r="DJ211" s="21">
        <f t="shared" ca="1" si="262"/>
        <v>0.80846063454759132</v>
      </c>
      <c r="DL211" s="16" cm="1">
        <f t="array" aca="1" ref="DL211" ca="1">MAX(_xlfn._xlws.FILTER(CW211:DJ211,CW211:DJ211&lt;BU211))</f>
        <v>-2.4875711832233579E-2</v>
      </c>
      <c r="DM211" s="16" cm="1">
        <f t="array" aca="1" ref="DM211" ca="1">MIN(_xlfn._xlws.FILTER(CW211:DJ211,CW211:DJ211&gt;BU211))</f>
        <v>2.4875711832233579E-2</v>
      </c>
      <c r="DN211" s="2" cm="1">
        <f t="array" aca="1" ref="DN211" ca="1">_FV(EC211,"Fechamento anterior",TRUE)</f>
        <v>5.23</v>
      </c>
      <c r="DO211" s="28">
        <f t="shared" ca="1" si="235"/>
        <v>0.11568016585886358</v>
      </c>
      <c r="DP211" s="15">
        <f t="shared" ca="1" si="263"/>
        <v>5.0999000271174184</v>
      </c>
      <c r="DQ211" s="15">
        <f t="shared" ca="1" si="264"/>
        <v>5.3600999728825824</v>
      </c>
      <c r="DR211" s="9"/>
      <c r="DS211" s="9"/>
      <c r="DT211" s="9"/>
      <c r="DU211" s="89">
        <v>4.8109965635738827E-2</v>
      </c>
      <c r="DV211" s="89">
        <f t="shared" ca="1" si="236"/>
        <v>4.9751423664467158E-2</v>
      </c>
      <c r="DW211" s="72">
        <f t="shared" ca="1" si="237"/>
        <v>0.16911216704758331</v>
      </c>
      <c r="DX211" s="37"/>
      <c r="DY211" s="35">
        <f t="shared" si="247"/>
        <v>0.31044484212175277</v>
      </c>
      <c r="DZ211" s="56"/>
      <c r="EA211" s="56"/>
      <c r="EC211" s="2" t="e" vm="213">
        <v>#VALUE!</v>
      </c>
      <c r="EE211" s="10" cm="1">
        <f t="array" aca="1" ref="EE211" ca="1">_FV(EC211,"Ações em circulação",TRUE)</f>
        <v>286431100</v>
      </c>
      <c r="EF211" s="18">
        <f>VLOOKUP(BP211,Fundamentus!A:U,5,FALSE)</f>
        <v>0.16600000000000001</v>
      </c>
      <c r="EG211" s="2">
        <f t="shared" ca="1" si="238"/>
        <v>8851756283.1325302</v>
      </c>
      <c r="EH211" s="17">
        <v>195623813.85722893</v>
      </c>
      <c r="EI211" s="17">
        <f t="shared" ca="1" si="239"/>
        <v>195623813.85722893</v>
      </c>
      <c r="EK211" s="16">
        <f t="shared" ca="1" si="226"/>
        <v>0</v>
      </c>
      <c r="EL211" s="32" t="str">
        <f>IF(VLOOKUP(BP211,Fundamentus!A:U,3,FALSE)&lt;15,"Bom",IF(VLOOKUP(BP211,Fundamentus!A:U,3,FALSE)&gt;15,"Ruim","n/a"))</f>
        <v>Bom</v>
      </c>
      <c r="EM211" s="28" t="str">
        <f>IF(VLOOKUP(BP211,Fundamentus!A:U,4,FALSE)&lt;1,"Baixo",IF(VLOOKUP(BP211,Fundamentus!A:U,4,FALSE)&lt;1.5,"Moderado",IF(VLOOKUP(BP211,Fundamentus!A:U,4,FALSE)&gt;1.5,"Alto","n/a")))</f>
        <v>Baixo</v>
      </c>
      <c r="EN211" s="17" t="str">
        <f>IF(VLOOKUP(BP211,Fundamentus!A:U,8,FALSE)&lt;0,"Risco elevado",IF(VLOOKUP(BP211,Fundamentus!A:U,8,FALSE)&lt;1,"Saudável",IF(VLOOKUP(BP211,Fundamentus!A:U,8,FALSE)&lt;3,"Estável",IF(VLOOKUP(BP211,Fundamentus!A:U,8,FALSE)&gt;3,"Alerta","n/a"))))</f>
        <v>Saudável</v>
      </c>
      <c r="EO211" s="28" t="str">
        <f t="shared" si="240"/>
        <v>Ruim</v>
      </c>
      <c r="EP211" s="17" t="str">
        <f>IF(VLOOKUP(BP211,Fundamentus!A:U,12,FALSE)&lt;2,"Subvalorizada",IF(VLOOKUP(BP211,Fundamentus!A:U,12,FALSE)&lt;6,"Muita barata",IF(VLOOKUP(BP211,Fundamentus!A:U,12,FALSE)&lt;6,"Barata",IF(VLOOKUP(BP211,Fundamentus!A:U,12,FALSE)&lt;8,"Atrativa",IF(VLOOKUP(BP211,Fundamentus!A:U,12,FALSE)&gt;8,"Supervalorizada","n/a")))))</f>
        <v>Muita barata</v>
      </c>
      <c r="ER211" s="17" t="str">
        <f>IF(VLOOKUP(BP211,Fundamentus!A:U,17,FALSE)&lt;0.1,"Fraco retorno",IF(VLOOKUP(BP211,Fundamentus!A:U,17,FALSE)&gt;0.1,"Bom retorno","n/a"))</f>
        <v>Bom retorno</v>
      </c>
      <c r="ES211" s="17" t="str">
        <f>IF(VLOOKUP(BP211,Fundamentus!A:U,16,FALSE)&lt;0.1,"Ineficiente",IF(VLOOKUP(BP211,Fundamentus!A:U,16,FALSE)&gt;0.1,"Eficiente","n/a"))</f>
        <v>Eficiente</v>
      </c>
      <c r="ET211" s="33" t="str">
        <f>IF(VLOOKUP(BP211,Fundamentus!A:U,16,FALSE)&lt;0.1,"Oper. Ineficiente",IF(VLOOKUP(BP211,Fundamentus!A:U,16,FALSE)&gt;0.1,"Oper.Eficiente","n/a"))</f>
        <v>Oper.Eficiente</v>
      </c>
      <c r="EU211" s="34">
        <f>VLOOKUP(BP211,Fundamentus!A:U,14,FALSE)</f>
        <v>2.2100000000000002E-2</v>
      </c>
      <c r="EV211" s="17" t="str">
        <f>IF(VLOOKUP(BP211,Fundamentus!A:U,21,FALSE)&lt;0,"Negativo",IF(VLOOKUP(BP211,Fundamentus!A:U,21,FALSE)&lt;0.05,"Fraco",IF(VLOOKUP(BP211,Fundamentus!A:U,21,FALSE)&lt;0.1,"Bom",IF(VLOOKUP(BP211,Fundamentus!A:U,21,FALSE)&gt;0.1,"Muito bom","n/a"))))</f>
        <v>Muito bom</v>
      </c>
      <c r="EX211" s="29" t="str">
        <f>IF(VLOOKUP(BP211,Fundamentus!A:U,15,FALSE)&gt;1,"Bom",IF(VLOOKUP(BP211,Fundamentus!A:U,15,FALSE)&lt;1,"Ruim","n/a"))</f>
        <v>Bom</v>
      </c>
      <c r="EY211" s="17" t="str">
        <f>IF(VLOOKUP(BP211,Fundamentus!A:U,20,FALSE)&lt;0.5,"Baixa",IF(VLOOKUP(BP211,Fundamentus!A:U,20,FALSE)&lt;1,"Moderada",IF(VLOOKUP(BP211,Fundamentus!A:U,20,FALSE)&lt;2,"Alerta",IF(VLOOKUP(BP211,Fundamentus!A:U,20,FALSE)&gt;2,"Alta","n/a"))))</f>
        <v>Alta</v>
      </c>
    </row>
    <row r="212" spans="1:156" s="2" customFormat="1" ht="11.25" x14ac:dyDescent="0.2">
      <c r="A212" s="4">
        <v>7.27</v>
      </c>
      <c r="B212" s="4">
        <v>6.05</v>
      </c>
      <c r="C212" s="4">
        <v>7.07</v>
      </c>
      <c r="D212" s="4">
        <v>9.08</v>
      </c>
      <c r="E212" s="4">
        <v>8.81</v>
      </c>
      <c r="F212" s="4">
        <v>7.03</v>
      </c>
      <c r="G212" s="4">
        <v>6.06</v>
      </c>
      <c r="H212" s="4">
        <v>5.8</v>
      </c>
      <c r="I212" s="4">
        <v>6.25</v>
      </c>
      <c r="J212" s="4">
        <v>7.06</v>
      </c>
      <c r="K212" s="4">
        <v>7.35</v>
      </c>
      <c r="L212" s="4">
        <v>7.15</v>
      </c>
      <c r="M212" s="4">
        <v>7.25</v>
      </c>
      <c r="N212" s="4">
        <v>6.5</v>
      </c>
      <c r="O212" s="4">
        <v>6.45</v>
      </c>
      <c r="P212" s="4">
        <v>6.55</v>
      </c>
      <c r="Q212" s="4">
        <v>6.1</v>
      </c>
      <c r="R212" s="4">
        <v>6.66</v>
      </c>
      <c r="S212" s="4">
        <v>5.2</v>
      </c>
      <c r="T212" s="4">
        <v>6.2</v>
      </c>
      <c r="U212" s="4">
        <v>5.26</v>
      </c>
      <c r="V212" s="4">
        <v>4.8600000000000003</v>
      </c>
      <c r="W212" s="4">
        <v>5.07</v>
      </c>
      <c r="X212" s="4">
        <v>4.55</v>
      </c>
      <c r="Y212" s="4">
        <v>4.7</v>
      </c>
      <c r="Z212" s="4">
        <v>4.58</v>
      </c>
      <c r="AA212" s="4">
        <v>4.4400000000000004</v>
      </c>
      <c r="AB212" s="4">
        <v>4.37</v>
      </c>
      <c r="AC212" s="4">
        <v>3.95</v>
      </c>
      <c r="AD212" s="4">
        <v>3.33</v>
      </c>
      <c r="AE212" s="4">
        <v>2.1800000000000002</v>
      </c>
      <c r="AF212" s="4">
        <v>3.04</v>
      </c>
      <c r="AG212" s="4">
        <v>2.8</v>
      </c>
      <c r="AH212" s="4">
        <v>2.0299999999999998</v>
      </c>
      <c r="AI212" s="4">
        <v>2.39</v>
      </c>
      <c r="AJ212" s="4">
        <v>2.44</v>
      </c>
      <c r="AK212" s="4">
        <v>2.08</v>
      </c>
      <c r="AL212" s="4">
        <v>2.25</v>
      </c>
      <c r="AM212" s="4">
        <v>2.27</v>
      </c>
      <c r="AN212" s="4">
        <v>2.13</v>
      </c>
      <c r="AO212" s="4">
        <v>1.96</v>
      </c>
      <c r="AP212" s="4">
        <v>1.95</v>
      </c>
      <c r="AQ212" s="4">
        <v>4.9000000000000004</v>
      </c>
      <c r="AR212" s="4">
        <v>5.62</v>
      </c>
      <c r="AS212" s="4">
        <v>5.29</v>
      </c>
      <c r="AT212" s="4">
        <v>5.44</v>
      </c>
      <c r="AU212" s="4">
        <v>5.69</v>
      </c>
      <c r="AV212" s="4">
        <v>5.43</v>
      </c>
      <c r="AW212" s="4">
        <v>5.23</v>
      </c>
      <c r="AX212" s="4">
        <v>5.28</v>
      </c>
      <c r="AY212" s="12">
        <v>5.47</v>
      </c>
      <c r="AZ212" s="12">
        <v>6.26</v>
      </c>
      <c r="BA212" s="12">
        <v>6.05</v>
      </c>
      <c r="BB212" s="15">
        <v>5.36</v>
      </c>
      <c r="BC212" s="52">
        <v>4.78</v>
      </c>
      <c r="BD212" s="52">
        <v>5.2</v>
      </c>
      <c r="BE212" s="52">
        <v>5.04</v>
      </c>
      <c r="BF212" s="52">
        <v>4.62</v>
      </c>
      <c r="BG212" s="67">
        <v>4.5999999999999996</v>
      </c>
      <c r="BH212" s="52">
        <v>4.5</v>
      </c>
      <c r="BI212" s="52">
        <v>5.08</v>
      </c>
      <c r="BJ212" s="52">
        <v>4.9800000000000004</v>
      </c>
      <c r="BK212" s="52">
        <v>5.36</v>
      </c>
      <c r="BL212" s="52">
        <v>5.47</v>
      </c>
      <c r="BM212" s="52">
        <v>5.44</v>
      </c>
      <c r="BN212" s="52">
        <v>5.65</v>
      </c>
      <c r="BO212" s="52" cm="1">
        <f t="array" aca="1" ref="BO212" ca="1">_FV(EC212,"Preço")</f>
        <v>5.65</v>
      </c>
      <c r="BP212" s="69" t="s">
        <v>208</v>
      </c>
      <c r="BQ212" s="36" cm="1">
        <f t="array" aca="1" ref="BQ212" ca="1">_FV(EC212,"Média de volume",TRUE)</f>
        <v>1257340</v>
      </c>
      <c r="BR212" s="36">
        <v>861600</v>
      </c>
      <c r="BS212" s="36" cm="1">
        <f t="array" aca="1" ref="BS212" ca="1">_FV(EC212,"Volume")</f>
        <v>861600</v>
      </c>
      <c r="BT212" s="24" cm="1">
        <f t="array" aca="1" ref="BT212" ca="1">_FV(EC212,"Beta")</f>
        <v>1.3499000000000001</v>
      </c>
      <c r="BU212" s="71" cm="1">
        <f t="array" aca="1" ref="BU212" ca="1">_FV(EC212,"Variação (%)",TRUE)</f>
        <v>3.6697E-2</v>
      </c>
      <c r="BW212" s="17" cm="1">
        <f t="array" aca="1" ref="BW212" ca="1">_FV(EC212,"Baixo")</f>
        <v>5.4</v>
      </c>
      <c r="BX212" s="17" cm="1">
        <f t="array" aca="1" ref="BX212" ca="1">_FV(EC212,"Alto")</f>
        <v>5.65</v>
      </c>
      <c r="BY212" s="24"/>
      <c r="BZ212" s="63" t="e">
        <f ca="1">SQRT(22.5*(BO212/VLOOKUP(BP212,Fundamentus!A:U,3,FALSE))*(BO212/VLOOKUP(BP212,Fundamentus!A:U,4,FALSE)))</f>
        <v>#NUM!</v>
      </c>
      <c r="CB212" s="62">
        <f t="shared" ca="1" si="241"/>
        <v>0</v>
      </c>
      <c r="CC212" s="8"/>
      <c r="CD212" s="61">
        <f t="shared" si="242"/>
        <v>1.95</v>
      </c>
      <c r="CE212" s="61">
        <f t="shared" si="243"/>
        <v>9.08</v>
      </c>
      <c r="CF212" s="61">
        <f t="shared" si="244"/>
        <v>5.07969696969697</v>
      </c>
      <c r="CG212" s="14"/>
      <c r="CH212" s="35">
        <f t="shared" si="227"/>
        <v>5.2472811275763682</v>
      </c>
      <c r="CI212" s="15">
        <f t="shared" si="245"/>
        <v>5.6899999999999409</v>
      </c>
      <c r="CJ212" s="35">
        <f t="shared" si="228"/>
        <v>6.1327188724235135</v>
      </c>
      <c r="CL212" s="14"/>
      <c r="CM212" s="17">
        <f t="shared" si="229"/>
        <v>-5.0900000000000007</v>
      </c>
      <c r="CN212" s="17">
        <f t="shared" si="230"/>
        <v>-1.5700000000000003</v>
      </c>
      <c r="CO212" s="17">
        <f t="shared" si="231"/>
        <v>2.0399999999999991</v>
      </c>
      <c r="CP212" s="38">
        <f t="shared" si="246"/>
        <v>5.56</v>
      </c>
      <c r="CQ212" s="17">
        <f t="shared" si="232"/>
        <v>9.17</v>
      </c>
      <c r="CR212" s="17">
        <f t="shared" si="233"/>
        <v>12.69</v>
      </c>
      <c r="CS212" s="17">
        <f t="shared" si="234"/>
        <v>16.299999999999997</v>
      </c>
      <c r="CT212" s="2" cm="1">
        <f t="array" aca="1" ref="CT212" ca="1">MAX(_xlfn._xlws.FILTER(CM212:CS212,CM212:CS212&lt;BO212))</f>
        <v>5.56</v>
      </c>
      <c r="CU212" s="2" cm="1">
        <f t="array" aca="1" ref="CU212" ca="1">MIN(_xlfn._xlws.FILTER($CM212:$CS212,$CM212:$CS212&gt;BO212))</f>
        <v>9.17</v>
      </c>
      <c r="CV212" s="16">
        <f t="shared" ca="1" si="248"/>
        <v>0.64928057553956853</v>
      </c>
      <c r="CW212" s="20">
        <f t="shared" ca="1" si="249"/>
        <v>-0.32464028776978426</v>
      </c>
      <c r="CX212" s="20">
        <f t="shared" ca="1" si="250"/>
        <v>-0.21642685851318952</v>
      </c>
      <c r="CY212" s="20">
        <f t="shared" ca="1" si="251"/>
        <v>-0.1298561151079137</v>
      </c>
      <c r="CZ212" s="20">
        <f t="shared" ca="1" si="252"/>
        <v>-7.2142286171063164E-2</v>
      </c>
      <c r="DA212" s="20">
        <f t="shared" ca="1" si="253"/>
        <v>-3.8192975031739324E-2</v>
      </c>
      <c r="DB212" s="20">
        <f t="shared" ca="1" si="254"/>
        <v>-1.9675168955744501E-2</v>
      </c>
      <c r="DC212" s="20">
        <f t="shared" ca="1" si="255"/>
        <v>-9.9889319313779777E-3</v>
      </c>
      <c r="DD212" s="21">
        <f t="shared" ca="1" si="256"/>
        <v>9.9889319313779777E-3</v>
      </c>
      <c r="DE212" s="21">
        <f t="shared" ca="1" si="257"/>
        <v>1.9675168955744501E-2</v>
      </c>
      <c r="DF212" s="21">
        <f t="shared" ca="1" si="258"/>
        <v>3.8192975031739324E-2</v>
      </c>
      <c r="DG212" s="21">
        <f t="shared" ca="1" si="259"/>
        <v>7.2142286171063164E-2</v>
      </c>
      <c r="DH212" s="21">
        <f t="shared" ca="1" si="260"/>
        <v>0.1298561151079137</v>
      </c>
      <c r="DI212" s="21">
        <f t="shared" ca="1" si="261"/>
        <v>0.21642685851318952</v>
      </c>
      <c r="DJ212" s="21">
        <f t="shared" ca="1" si="262"/>
        <v>0.32464028776978426</v>
      </c>
      <c r="DL212" s="16" cm="1">
        <f t="array" aca="1" ref="DL212" ca="1">MAX(_xlfn._xlws.FILTER(CW212:DJ212,CW212:DJ212&lt;BU212))</f>
        <v>1.9675168955744501E-2</v>
      </c>
      <c r="DM212" s="16" cm="1">
        <f t="array" aca="1" ref="DM212" ca="1">MIN(_xlfn._xlws.FILTER(CW212:DJ212,CW212:DJ212&gt;BU212))</f>
        <v>3.8192975031739324E-2</v>
      </c>
      <c r="DN212" s="2" cm="1">
        <f t="array" aca="1" ref="DN212" ca="1">_FV(EC212,"Fechamento anterior",TRUE)</f>
        <v>5.45</v>
      </c>
      <c r="DO212" s="28">
        <f t="shared" ca="1" si="235"/>
        <v>0.91922761696612409</v>
      </c>
      <c r="DP212" s="15">
        <f t="shared" ca="1" si="263"/>
        <v>5.557229670808808</v>
      </c>
      <c r="DQ212" s="15">
        <f t="shared" ca="1" si="264"/>
        <v>5.6581517139229796</v>
      </c>
      <c r="DR212" s="9"/>
      <c r="DS212" s="9"/>
      <c r="DT212" s="9"/>
      <c r="DU212" s="89">
        <v>5.7371794871794876E-2</v>
      </c>
      <c r="DV212" s="89">
        <f t="shared" ca="1" si="236"/>
        <v>1.8517806075994823E-2</v>
      </c>
      <c r="DW212" s="72">
        <f t="shared" ca="1" si="237"/>
        <v>-9.0350790290390878E-2</v>
      </c>
      <c r="DX212" s="37"/>
      <c r="DY212" s="35">
        <f t="shared" si="247"/>
        <v>0.22135943621178647</v>
      </c>
      <c r="DZ212" s="56"/>
      <c r="EA212" s="56"/>
      <c r="EC212" s="2" t="e" vm="214">
        <v>#VALUE!</v>
      </c>
      <c r="EE212" s="10" cm="1">
        <f t="array" aca="1" ref="EE212" ca="1">_FV(EC212,"Ações em circulação",TRUE)</f>
        <v>651756300</v>
      </c>
      <c r="EF212" s="18">
        <f>VLOOKUP(BP212,Fundamentus!A:U,5,FALSE)</f>
        <v>0.56699999999999995</v>
      </c>
      <c r="EG212" s="2">
        <f t="shared" ca="1" si="238"/>
        <v>6494573359.7883606</v>
      </c>
      <c r="EH212" s="17">
        <v>-901446782.33862448</v>
      </c>
      <c r="EI212" s="17">
        <f t="shared" ca="1" si="239"/>
        <v>-901446782.33862448</v>
      </c>
      <c r="EK212" s="16">
        <f t="shared" ca="1" si="226"/>
        <v>0</v>
      </c>
      <c r="EL212" s="32" t="str">
        <f>IF(VLOOKUP(BP212,Fundamentus!A:U,3,FALSE)&lt;15,"Bom",IF(VLOOKUP(BP212,Fundamentus!A:U,3,FALSE)&gt;15,"Ruim","n/a"))</f>
        <v>Bom</v>
      </c>
      <c r="EM212" s="28" t="str">
        <f>IF(VLOOKUP(BP212,Fundamentus!A:U,4,FALSE)&lt;1,"Baixo",IF(VLOOKUP(BP212,Fundamentus!A:U,4,FALSE)&lt;1.5,"Moderado",IF(VLOOKUP(BP212,Fundamentus!A:U,4,FALSE)&gt;1.5,"Alto","n/a")))</f>
        <v>Moderado</v>
      </c>
      <c r="EN212" s="17" t="str">
        <f>IF(VLOOKUP(BP212,Fundamentus!A:U,8,FALSE)&lt;0,"Risco elevado",IF(VLOOKUP(BP212,Fundamentus!A:U,8,FALSE)&lt;1,"Saudável",IF(VLOOKUP(BP212,Fundamentus!A:U,8,FALSE)&lt;3,"Estável",IF(VLOOKUP(BP212,Fundamentus!A:U,8,FALSE)&gt;3,"Alerta","n/a"))))</f>
        <v>Estável</v>
      </c>
      <c r="EO212" s="28" t="str">
        <f t="shared" si="240"/>
        <v>Ruim</v>
      </c>
      <c r="EP212" s="17" t="str">
        <f>IF(VLOOKUP(BP212,Fundamentus!A:U,12,FALSE)&lt;2,"Subvalorizada",IF(VLOOKUP(BP212,Fundamentus!A:U,12,FALSE)&lt;6,"Muita barata",IF(VLOOKUP(BP212,Fundamentus!A:U,12,FALSE)&lt;6,"Barata",IF(VLOOKUP(BP212,Fundamentus!A:U,12,FALSE)&lt;8,"Atrativa",IF(VLOOKUP(BP212,Fundamentus!A:U,12,FALSE)&gt;8,"Supervalorizada","n/a")))))</f>
        <v>Supervalorizada</v>
      </c>
      <c r="ER212" s="17" t="str">
        <f>IF(VLOOKUP(BP212,Fundamentus!A:U,17,FALSE)&lt;0.1,"Fraco retorno",IF(VLOOKUP(BP212,Fundamentus!A:U,17,FALSE)&gt;0.1,"Bom retorno","n/a"))</f>
        <v>Fraco retorno</v>
      </c>
      <c r="ES212" s="17" t="str">
        <f>IF(VLOOKUP(BP212,Fundamentus!A:U,16,FALSE)&lt;0.1,"Ineficiente",IF(VLOOKUP(BP212,Fundamentus!A:U,16,FALSE)&gt;0.1,"Eficiente","n/a"))</f>
        <v>Ineficiente</v>
      </c>
      <c r="ET212" s="33" t="str">
        <f>IF(VLOOKUP(BP212,Fundamentus!A:U,16,FALSE)&lt;0.1,"Oper. Ineficiente",IF(VLOOKUP(BP212,Fundamentus!A:U,16,FALSE)&gt;0.1,"Oper.Eficiente","n/a"))</f>
        <v>Oper. Ineficiente</v>
      </c>
      <c r="EU212" s="34">
        <f>VLOOKUP(BP212,Fundamentus!A:U,14,FALSE)</f>
        <v>-0.13880000000000001</v>
      </c>
      <c r="EV212" s="17" t="str">
        <f>IF(VLOOKUP(BP212,Fundamentus!A:U,21,FALSE)&lt;0,"Negativo",IF(VLOOKUP(BP212,Fundamentus!A:U,21,FALSE)&lt;0.05,"Fraco",IF(VLOOKUP(BP212,Fundamentus!A:U,21,FALSE)&lt;0.1,"Bom",IF(VLOOKUP(BP212,Fundamentus!A:U,21,FALSE)&gt;0.1,"Muito bom","n/a"))))</f>
        <v>Muito bom</v>
      </c>
      <c r="EX212" s="29" t="str">
        <f>IF(VLOOKUP(BP212,Fundamentus!A:U,15,FALSE)&gt;1,"Bom",IF(VLOOKUP(BP212,Fundamentus!A:U,15,FALSE)&lt;1,"Ruim","n/a"))</f>
        <v>Bom</v>
      </c>
      <c r="EY212" s="17" t="str">
        <f>IF(VLOOKUP(BP212,Fundamentus!A:U,20,FALSE)&lt;0.5,"Baixa",IF(VLOOKUP(BP212,Fundamentus!A:U,20,FALSE)&lt;1,"Moderada",IF(VLOOKUP(BP212,Fundamentus!A:U,20,FALSE)&lt;2,"Alerta",IF(VLOOKUP(BP212,Fundamentus!A:U,20,FALSE)&gt;2,"Alta","n/a"))))</f>
        <v>Alerta</v>
      </c>
    </row>
    <row r="213" spans="1:156" s="2" customFormat="1" ht="11.25" x14ac:dyDescent="0.2">
      <c r="A213" s="4">
        <v>10.28</v>
      </c>
      <c r="B213" s="4">
        <v>10.54</v>
      </c>
      <c r="C213" s="4">
        <v>10.38</v>
      </c>
      <c r="D213" s="4">
        <v>10.34</v>
      </c>
      <c r="E213" s="4">
        <v>9.9600000000000009</v>
      </c>
      <c r="F213" s="4">
        <v>10.56</v>
      </c>
      <c r="G213" s="4">
        <v>9.6999999999999993</v>
      </c>
      <c r="H213" s="4">
        <v>10</v>
      </c>
      <c r="I213" s="4">
        <v>10.39</v>
      </c>
      <c r="J213" s="4">
        <v>12.65</v>
      </c>
      <c r="K213" s="4">
        <v>13.85</v>
      </c>
      <c r="L213" s="4">
        <v>12.39</v>
      </c>
      <c r="M213" s="4">
        <v>11</v>
      </c>
      <c r="N213" s="4">
        <v>10.11</v>
      </c>
      <c r="O213" s="4">
        <v>10.59</v>
      </c>
      <c r="P213" s="4">
        <v>12.5</v>
      </c>
      <c r="Q213" s="4">
        <v>15</v>
      </c>
      <c r="R213" s="4">
        <v>16</v>
      </c>
      <c r="S213" s="4">
        <v>15.3</v>
      </c>
      <c r="T213" s="4">
        <v>16.13</v>
      </c>
      <c r="U213" s="4">
        <v>15.44</v>
      </c>
      <c r="V213" s="4">
        <v>15</v>
      </c>
      <c r="W213" s="4">
        <v>15.21</v>
      </c>
      <c r="X213" s="4">
        <v>14.95</v>
      </c>
      <c r="Y213" s="4">
        <v>12.22</v>
      </c>
      <c r="Z213" s="4">
        <v>14.64</v>
      </c>
      <c r="AA213" s="4">
        <v>14.17</v>
      </c>
      <c r="AB213" s="4">
        <v>14.79</v>
      </c>
      <c r="AC213" s="4">
        <v>14.2</v>
      </c>
      <c r="AD213" s="4">
        <v>13.02</v>
      </c>
      <c r="AE213" s="4">
        <v>12</v>
      </c>
      <c r="AF213" s="4">
        <v>10.95</v>
      </c>
      <c r="AG213" s="4">
        <v>10.26</v>
      </c>
      <c r="AH213" s="4">
        <v>10.130000000000001</v>
      </c>
      <c r="AI213" s="4">
        <v>8.8000000000000007</v>
      </c>
      <c r="AJ213" s="4">
        <v>7.27</v>
      </c>
      <c r="AK213" s="4">
        <v>9.2200000000000006</v>
      </c>
      <c r="AL213" s="4">
        <v>10.8</v>
      </c>
      <c r="AM213" s="4">
        <v>12.09</v>
      </c>
      <c r="AN213" s="4">
        <v>11.79</v>
      </c>
      <c r="AO213" s="4">
        <v>10.19</v>
      </c>
      <c r="AP213" s="4">
        <v>10.3</v>
      </c>
      <c r="AQ213" s="4">
        <v>11.36</v>
      </c>
      <c r="AR213" s="4">
        <v>11.6</v>
      </c>
      <c r="AS213" s="4">
        <v>12.59</v>
      </c>
      <c r="AT213" s="4">
        <v>12.52</v>
      </c>
      <c r="AU213" s="4">
        <v>12.595000000000001</v>
      </c>
      <c r="AV213" s="4">
        <v>7.62</v>
      </c>
      <c r="AW213" s="4">
        <v>7.5</v>
      </c>
      <c r="AX213" s="4">
        <v>5.16</v>
      </c>
      <c r="AY213" s="12">
        <v>5.59</v>
      </c>
      <c r="AZ213" s="12">
        <v>6.32</v>
      </c>
      <c r="BA213" s="12">
        <v>5.84</v>
      </c>
      <c r="BB213" s="15">
        <v>5.55</v>
      </c>
      <c r="BC213" s="52">
        <v>5.97</v>
      </c>
      <c r="BD213" s="52">
        <v>5.83</v>
      </c>
      <c r="BE213" s="52">
        <v>6.09</v>
      </c>
      <c r="BF213" s="52">
        <v>5.41</v>
      </c>
      <c r="BG213" s="67">
        <v>4.9800000000000004</v>
      </c>
      <c r="BH213" s="52">
        <v>5</v>
      </c>
      <c r="BI213" s="52">
        <v>4.92</v>
      </c>
      <c r="BJ213" s="52">
        <v>3.92</v>
      </c>
      <c r="BK213" s="52">
        <v>4.9000000000000004</v>
      </c>
      <c r="BL213" s="52">
        <v>5.07</v>
      </c>
      <c r="BM213" s="52">
        <v>4.84</v>
      </c>
      <c r="BN213" s="52">
        <v>5.05</v>
      </c>
      <c r="BO213" s="52" cm="1">
        <f t="array" aca="1" ref="BO213" ca="1">_FV(EC213,"Preço")</f>
        <v>5.05</v>
      </c>
      <c r="BP213" s="69" t="s">
        <v>209</v>
      </c>
      <c r="BQ213" s="36" cm="1">
        <f t="array" aca="1" ref="BQ213" ca="1">_FV(EC213,"Média de volume",TRUE)</f>
        <v>44820</v>
      </c>
      <c r="BR213" s="36">
        <v>50400</v>
      </c>
      <c r="BS213" s="36" cm="1">
        <f t="array" aca="1" ref="BS213" ca="1">_FV(EC213,"Volume")</f>
        <v>50400</v>
      </c>
      <c r="BT213" s="24" cm="1">
        <f t="array" aca="1" ref="BT213" ca="1">_FV(EC213,"Beta")</f>
        <v>0.88859999999999995</v>
      </c>
      <c r="BU213" s="71" cm="1">
        <f t="array" aca="1" ref="BU213" ca="1">_FV(EC213,"Variação (%)",TRUE)</f>
        <v>3.0612E-2</v>
      </c>
      <c r="BW213" s="17" cm="1">
        <f t="array" aca="1" ref="BW213" ca="1">_FV(EC213,"Baixo")</f>
        <v>4.9000000000000004</v>
      </c>
      <c r="BX213" s="17" cm="1">
        <f t="array" aca="1" ref="BX213" ca="1">_FV(EC213,"Alto")</f>
        <v>5.0999999999999996</v>
      </c>
      <c r="BY213" s="24"/>
      <c r="BZ213" s="63" t="e">
        <f ca="1">SQRT(22.5*(BO213/VLOOKUP(BP213,Fundamentus!A:U,3,FALSE))*(BO213/VLOOKUP(BP213,Fundamentus!A:U,4,FALSE)))</f>
        <v>#NUM!</v>
      </c>
      <c r="CB213" s="62">
        <f t="shared" ca="1" si="241"/>
        <v>0</v>
      </c>
      <c r="CC213" s="8"/>
      <c r="CD213" s="61">
        <f t="shared" si="242"/>
        <v>3.92</v>
      </c>
      <c r="CE213" s="61">
        <f t="shared" si="243"/>
        <v>16.13</v>
      </c>
      <c r="CF213" s="61">
        <f t="shared" si="244"/>
        <v>10.171742424242426</v>
      </c>
      <c r="CG213" s="14"/>
      <c r="CH213" s="35">
        <f t="shared" si="227"/>
        <v>4.1659648719168327</v>
      </c>
      <c r="CI213" s="15">
        <f t="shared" si="245"/>
        <v>5.0199999999999818</v>
      </c>
      <c r="CJ213" s="35">
        <f t="shared" si="228"/>
        <v>5.8740351280831309</v>
      </c>
      <c r="CL213" s="14"/>
      <c r="CM213" s="17">
        <f t="shared" si="229"/>
        <v>-11.606666666666667</v>
      </c>
      <c r="CN213" s="17">
        <f t="shared" si="230"/>
        <v>-3.8433333333333337</v>
      </c>
      <c r="CO213" s="17">
        <f t="shared" si="231"/>
        <v>0.60333333333333172</v>
      </c>
      <c r="CP213" s="38">
        <f t="shared" si="246"/>
        <v>8.3666666666666654</v>
      </c>
      <c r="CQ213" s="17">
        <f t="shared" si="232"/>
        <v>12.813333333333331</v>
      </c>
      <c r="CR213" s="17">
        <f t="shared" si="233"/>
        <v>20.576666666666664</v>
      </c>
      <c r="CS213" s="17">
        <f t="shared" si="234"/>
        <v>25.02333333333333</v>
      </c>
      <c r="CT213" s="2" cm="1">
        <f t="array" aca="1" ref="CT213" ca="1">MAX(_xlfn._xlws.FILTER(CM213:CS213,CM213:CS213&lt;BO213))</f>
        <v>0.60333333333333172</v>
      </c>
      <c r="CU213" s="2" cm="1">
        <f t="array" aca="1" ref="CU213" ca="1">MIN(_xlfn._xlws.FILTER($CM213:$CS213,$CM213:$CS213&gt;BO213))</f>
        <v>8.3666666666666654</v>
      </c>
      <c r="CV213" s="16">
        <f t="shared" ca="1" si="248"/>
        <v>12.867403314917162</v>
      </c>
      <c r="CW213" s="20">
        <f t="shared" ca="1" si="249"/>
        <v>-6.433701657458581</v>
      </c>
      <c r="CX213" s="20">
        <f t="shared" ca="1" si="250"/>
        <v>-4.2891344383057204</v>
      </c>
      <c r="CY213" s="20">
        <f t="shared" ca="1" si="251"/>
        <v>-2.5734806629834326</v>
      </c>
      <c r="CZ213" s="20">
        <f t="shared" ca="1" si="252"/>
        <v>-1.4297114794352401</v>
      </c>
      <c r="DA213" s="20">
        <f t="shared" ca="1" si="253"/>
        <v>-0.75690607734806836</v>
      </c>
      <c r="DB213" s="20">
        <f t="shared" ca="1" si="254"/>
        <v>-0.38992131257324736</v>
      </c>
      <c r="DC213" s="20">
        <f t="shared" ca="1" si="255"/>
        <v>-0.19796005099872557</v>
      </c>
      <c r="DD213" s="21">
        <f t="shared" ca="1" si="256"/>
        <v>0.19796005099872557</v>
      </c>
      <c r="DE213" s="21">
        <f t="shared" ca="1" si="257"/>
        <v>0.38992131257324736</v>
      </c>
      <c r="DF213" s="21">
        <f t="shared" ca="1" si="258"/>
        <v>0.75690607734806836</v>
      </c>
      <c r="DG213" s="21">
        <f t="shared" ca="1" si="259"/>
        <v>1.4297114794352401</v>
      </c>
      <c r="DH213" s="21">
        <f t="shared" ca="1" si="260"/>
        <v>2.5734806629834326</v>
      </c>
      <c r="DI213" s="21">
        <f t="shared" ca="1" si="261"/>
        <v>4.2891344383057204</v>
      </c>
      <c r="DJ213" s="21">
        <f t="shared" ca="1" si="262"/>
        <v>6.433701657458581</v>
      </c>
      <c r="DL213" s="16" cm="1">
        <f t="array" aca="1" ref="DL213" ca="1">MAX(_xlfn._xlws.FILTER(CW213:DJ213,CW213:DJ213&lt;BU213))</f>
        <v>-0.19796005099872557</v>
      </c>
      <c r="DM213" s="16" cm="1">
        <f t="array" aca="1" ref="DM213" ca="1">MIN(_xlfn._xlws.FILTER(CW213:DJ213,CW213:DJ213&gt;BU213))</f>
        <v>0.19796005099872557</v>
      </c>
      <c r="DN213" s="2" cm="1">
        <f t="array" aca="1" ref="DN213" ca="1">_FV(EC213,"Fechamento anterior",TRUE)</f>
        <v>4.9000000000000004</v>
      </c>
      <c r="DO213" s="28">
        <f t="shared" ca="1" si="235"/>
        <v>0.5773192488674298</v>
      </c>
      <c r="DP213" s="15">
        <f t="shared" ca="1" si="263"/>
        <v>3.929995750106245</v>
      </c>
      <c r="DQ213" s="15">
        <f t="shared" ca="1" si="264"/>
        <v>5.8700042498937552</v>
      </c>
      <c r="DR213" s="9"/>
      <c r="DS213" s="9"/>
      <c r="DT213" s="9"/>
      <c r="DU213" s="89">
        <v>0.38702702702702668</v>
      </c>
      <c r="DV213" s="89">
        <f t="shared" ca="1" si="236"/>
        <v>0.39592010199745115</v>
      </c>
      <c r="DW213" s="72">
        <f t="shared" ca="1" si="237"/>
        <v>3.5127360706288427E-2</v>
      </c>
      <c r="DX213" s="37"/>
      <c r="DY213" s="35">
        <f t="shared" si="247"/>
        <v>0.42701756404157437</v>
      </c>
      <c r="DZ213" s="56"/>
      <c r="EA213" s="56"/>
      <c r="EC213" s="2" t="e" vm="215">
        <v>#VALUE!</v>
      </c>
      <c r="EE213" s="10" cm="1">
        <f t="array" aca="1" ref="EE213" ca="1">_FV(EC213,"Ações em circulação",TRUE)</f>
        <v>152359500</v>
      </c>
      <c r="EF213" s="18">
        <f>VLOOKUP(BP213,Fundamentus!A:U,5,FALSE)</f>
        <v>0.61099999999999999</v>
      </c>
      <c r="EG213" s="2">
        <f t="shared" ca="1" si="238"/>
        <v>1259272463.1751227</v>
      </c>
      <c r="EH213" s="17">
        <v>-62333986.927168578</v>
      </c>
      <c r="EI213" s="17">
        <f t="shared" ca="1" si="239"/>
        <v>-62333986.927168578</v>
      </c>
      <c r="EK213" s="16">
        <f t="shared" ca="1" si="226"/>
        <v>0</v>
      </c>
      <c r="EL213" s="32" t="str">
        <f>IF(VLOOKUP(BP213,Fundamentus!A:U,3,FALSE)&lt;15,"Bom",IF(VLOOKUP(BP213,Fundamentus!A:U,3,FALSE)&gt;15,"Ruim","n/a"))</f>
        <v>Bom</v>
      </c>
      <c r="EM213" s="28" t="str">
        <f>IF(VLOOKUP(BP213,Fundamentus!A:U,4,FALSE)&lt;1,"Baixo",IF(VLOOKUP(BP213,Fundamentus!A:U,4,FALSE)&lt;1.5,"Moderado",IF(VLOOKUP(BP213,Fundamentus!A:U,4,FALSE)&gt;1.5,"Alto","n/a")))</f>
        <v>Baixo</v>
      </c>
      <c r="EN213" s="17" t="str">
        <f>IF(VLOOKUP(BP213,Fundamentus!A:U,8,FALSE)&lt;0,"Risco elevado",IF(VLOOKUP(BP213,Fundamentus!A:U,8,FALSE)&lt;1,"Saudável",IF(VLOOKUP(BP213,Fundamentus!A:U,8,FALSE)&lt;3,"Estável",IF(VLOOKUP(BP213,Fundamentus!A:U,8,FALSE)&gt;3,"Alerta","n/a"))))</f>
        <v>Risco elevado</v>
      </c>
      <c r="EO213" s="28" t="str">
        <f t="shared" si="240"/>
        <v>Ruim</v>
      </c>
      <c r="EP213" s="17" t="str">
        <f>IF(VLOOKUP(BP213,Fundamentus!A:U,12,FALSE)&lt;2,"Subvalorizada",IF(VLOOKUP(BP213,Fundamentus!A:U,12,FALSE)&lt;6,"Muita barata",IF(VLOOKUP(BP213,Fundamentus!A:U,12,FALSE)&lt;6,"Barata",IF(VLOOKUP(BP213,Fundamentus!A:U,12,FALSE)&lt;8,"Atrativa",IF(VLOOKUP(BP213,Fundamentus!A:U,12,FALSE)&gt;8,"Supervalorizada","n/a")))))</f>
        <v>Muita barata</v>
      </c>
      <c r="ER213" s="17" t="str">
        <f>IF(VLOOKUP(BP213,Fundamentus!A:U,17,FALSE)&lt;0.1,"Fraco retorno",IF(VLOOKUP(BP213,Fundamentus!A:U,17,FALSE)&gt;0.1,"Bom retorno","n/a"))</f>
        <v>Fraco retorno</v>
      </c>
      <c r="ES213" s="17" t="str">
        <f>IF(VLOOKUP(BP213,Fundamentus!A:U,16,FALSE)&lt;0.1,"Ineficiente",IF(VLOOKUP(BP213,Fundamentus!A:U,16,FALSE)&gt;0.1,"Eficiente","n/a"))</f>
        <v>Ineficiente</v>
      </c>
      <c r="ET213" s="33" t="str">
        <f>IF(VLOOKUP(BP213,Fundamentus!A:U,16,FALSE)&lt;0.1,"Oper. Ineficiente",IF(VLOOKUP(BP213,Fundamentus!A:U,16,FALSE)&gt;0.1,"Oper.Eficiente","n/a"))</f>
        <v>Oper. Ineficiente</v>
      </c>
      <c r="EU213" s="34">
        <f>VLOOKUP(BP213,Fundamentus!A:U,14,FALSE)</f>
        <v>-4.9500000000000002E-2</v>
      </c>
      <c r="EV213" s="17" t="str">
        <f>IF(VLOOKUP(BP213,Fundamentus!A:U,21,FALSE)&lt;0,"Negativo",IF(VLOOKUP(BP213,Fundamentus!A:U,21,FALSE)&lt;0.05,"Fraco",IF(VLOOKUP(BP213,Fundamentus!A:U,21,FALSE)&lt;0.1,"Bom",IF(VLOOKUP(BP213,Fundamentus!A:U,21,FALSE)&gt;0.1,"Muito bom","n/a"))))</f>
        <v>Bom</v>
      </c>
      <c r="EX213" s="29" t="str">
        <f>IF(VLOOKUP(BP213,Fundamentus!A:U,15,FALSE)&gt;1,"Bom",IF(VLOOKUP(BP213,Fundamentus!A:U,15,FALSE)&lt;1,"Ruim","n/a"))</f>
        <v>Ruim</v>
      </c>
      <c r="EY213" s="17" t="str">
        <f>IF(VLOOKUP(BP213,Fundamentus!A:U,20,FALSE)&lt;0.5,"Baixa",IF(VLOOKUP(BP213,Fundamentus!A:U,20,FALSE)&lt;1,"Moderada",IF(VLOOKUP(BP213,Fundamentus!A:U,20,FALSE)&lt;2,"Alerta",IF(VLOOKUP(BP213,Fundamentus!A:U,20,FALSE)&gt;2,"Alta","n/a"))))</f>
        <v>Moderada</v>
      </c>
    </row>
    <row r="214" spans="1:156" s="2" customFormat="1" ht="11.25" x14ac:dyDescent="0.2">
      <c r="A214" s="4">
        <v>2.87</v>
      </c>
      <c r="B214" s="4">
        <v>2.72</v>
      </c>
      <c r="C214" s="4">
        <v>2.56</v>
      </c>
      <c r="D214" s="4">
        <v>2.4300000000000002</v>
      </c>
      <c r="E214" s="4">
        <v>2.3199999999999998</v>
      </c>
      <c r="F214" s="4">
        <v>2.2200000000000002</v>
      </c>
      <c r="G214" s="4">
        <v>2.14</v>
      </c>
      <c r="H214" s="4">
        <v>2.06</v>
      </c>
      <c r="I214" s="4">
        <v>2.06</v>
      </c>
      <c r="J214" s="4">
        <v>2.2599999999999998</v>
      </c>
      <c r="K214" s="4">
        <v>2.33</v>
      </c>
      <c r="L214" s="4">
        <v>2.25</v>
      </c>
      <c r="M214" s="4">
        <v>2.2999999999999998</v>
      </c>
      <c r="N214" s="4">
        <v>2.2000000000000002</v>
      </c>
      <c r="O214" s="4">
        <v>2.33</v>
      </c>
      <c r="P214" s="4">
        <v>2.11</v>
      </c>
      <c r="Q214" s="4">
        <v>2.16</v>
      </c>
      <c r="R214" s="4">
        <v>2.0699999999999998</v>
      </c>
      <c r="S214" s="4">
        <v>2.0099999999999998</v>
      </c>
      <c r="T214" s="4">
        <v>2</v>
      </c>
      <c r="U214" s="4">
        <v>1.89</v>
      </c>
      <c r="V214" s="4">
        <v>1.9</v>
      </c>
      <c r="W214" s="4">
        <v>1.91</v>
      </c>
      <c r="X214" s="4">
        <v>1.86</v>
      </c>
      <c r="Y214" s="4">
        <v>1.87</v>
      </c>
      <c r="Z214" s="4">
        <v>1.81</v>
      </c>
      <c r="AA214" s="4">
        <v>1.8</v>
      </c>
      <c r="AB214" s="4">
        <v>1.82</v>
      </c>
      <c r="AC214" s="4">
        <v>1.8</v>
      </c>
      <c r="AD214" s="4">
        <v>1.76</v>
      </c>
      <c r="AE214" s="4">
        <v>1.6</v>
      </c>
      <c r="AF214" s="4">
        <v>1.53</v>
      </c>
      <c r="AG214" s="4">
        <v>1.49</v>
      </c>
      <c r="AH214" s="4">
        <v>1.4</v>
      </c>
      <c r="AI214" s="4">
        <v>1.38</v>
      </c>
      <c r="AJ214" s="4">
        <v>1.37</v>
      </c>
      <c r="AK214" s="4">
        <v>1.35</v>
      </c>
      <c r="AL214" s="4">
        <v>1.37</v>
      </c>
      <c r="AM214" s="4">
        <v>1.5</v>
      </c>
      <c r="AN214" s="4">
        <v>1.6</v>
      </c>
      <c r="AO214" s="4">
        <v>1.47</v>
      </c>
      <c r="AP214" s="4">
        <v>1.59</v>
      </c>
      <c r="AQ214" s="4">
        <v>1.62</v>
      </c>
      <c r="AR214" s="4">
        <v>1.46</v>
      </c>
      <c r="AS214" s="4">
        <v>1.52</v>
      </c>
      <c r="AT214" s="4">
        <v>1.71</v>
      </c>
      <c r="AU214" s="4">
        <v>1.73</v>
      </c>
      <c r="AV214" s="4">
        <v>1.82</v>
      </c>
      <c r="AW214" s="4">
        <v>1.8</v>
      </c>
      <c r="AX214" s="4">
        <v>1.7</v>
      </c>
      <c r="AY214" s="12">
        <v>1.99</v>
      </c>
      <c r="AZ214" s="12">
        <v>2.14</v>
      </c>
      <c r="BA214" s="12">
        <v>2.36</v>
      </c>
      <c r="BB214" s="15">
        <v>2.38</v>
      </c>
      <c r="BC214" s="52">
        <v>2.34</v>
      </c>
      <c r="BD214" s="52">
        <v>2.46</v>
      </c>
      <c r="BE214" s="52">
        <v>2.5499999999999998</v>
      </c>
      <c r="BF214" s="52">
        <v>2.78</v>
      </c>
      <c r="BG214" s="67">
        <v>2.79</v>
      </c>
      <c r="BH214" s="52">
        <v>2.76</v>
      </c>
      <c r="BI214" s="52">
        <v>2.4900000000000002</v>
      </c>
      <c r="BJ214" s="52">
        <v>2.29</v>
      </c>
      <c r="BK214" s="52">
        <v>2.23</v>
      </c>
      <c r="BL214" s="52">
        <v>2.2200000000000002</v>
      </c>
      <c r="BM214" s="52">
        <v>2.83</v>
      </c>
      <c r="BN214" s="52">
        <v>2.86</v>
      </c>
      <c r="BO214" s="52" cm="1">
        <f t="array" aca="1" ref="BO214" ca="1">_FV(EC214,"Preço")</f>
        <v>2.86</v>
      </c>
      <c r="BP214" s="69" t="s">
        <v>210</v>
      </c>
      <c r="BQ214" s="36" cm="1">
        <f t="array" aca="1" ref="BQ214" ca="1">_FV(EC214,"Média de volume",TRUE)</f>
        <v>1644030</v>
      </c>
      <c r="BR214" s="36">
        <v>1170800</v>
      </c>
      <c r="BS214" s="36" cm="1">
        <f t="array" aca="1" ref="BS214" ca="1">_FV(EC214,"Volume")</f>
        <v>1170800</v>
      </c>
      <c r="BT214" s="24" cm="1">
        <f t="array" aca="1" ref="BT214" ca="1">_FV(EC214,"Beta")</f>
        <v>2.0093999999999999</v>
      </c>
      <c r="BU214" s="71" cm="1">
        <f t="array" aca="1" ref="BU214" ca="1">_FV(EC214,"Variação (%)",TRUE)</f>
        <v>-6.9440000000000005E-3</v>
      </c>
      <c r="BW214" s="17" cm="1">
        <f t="array" aca="1" ref="BW214" ca="1">_FV(EC214,"Baixo")</f>
        <v>2.82</v>
      </c>
      <c r="BX214" s="17" cm="1">
        <f t="array" aca="1" ref="BX214" ca="1">_FV(EC214,"Alto")</f>
        <v>2.92</v>
      </c>
      <c r="BY214" s="24"/>
      <c r="BZ214" s="63">
        <f ca="1">SQRT(22.5*(BO214/VLOOKUP(BP214,Fundamentus!A:U,3,FALSE))*(BO214/VLOOKUP(BP214,Fundamentus!A:U,4,FALSE)))</f>
        <v>11.705418638022472</v>
      </c>
      <c r="CB214" s="62">
        <f t="shared" ca="1" si="241"/>
        <v>0</v>
      </c>
      <c r="CC214" s="8"/>
      <c r="CD214" s="61">
        <f t="shared" si="242"/>
        <v>1.35</v>
      </c>
      <c r="CE214" s="61">
        <f t="shared" si="243"/>
        <v>2.87</v>
      </c>
      <c r="CF214" s="61">
        <f t="shared" si="244"/>
        <v>2.0348484848484847</v>
      </c>
      <c r="CG214" s="14"/>
      <c r="CH214" s="35">
        <f t="shared" si="227"/>
        <v>2.571496813942435</v>
      </c>
      <c r="CI214" s="15">
        <f t="shared" si="245"/>
        <v>3.1600000000000819</v>
      </c>
      <c r="CJ214" s="35">
        <f t="shared" si="228"/>
        <v>3.7485031860577287</v>
      </c>
      <c r="CL214" s="14"/>
      <c r="CM214" s="17">
        <f t="shared" si="229"/>
        <v>0.32999999999999963</v>
      </c>
      <c r="CN214" s="17">
        <f t="shared" si="230"/>
        <v>0.83999999999999986</v>
      </c>
      <c r="CO214" s="17">
        <f t="shared" si="231"/>
        <v>1.8499999999999996</v>
      </c>
      <c r="CP214" s="38">
        <f t="shared" si="246"/>
        <v>2.36</v>
      </c>
      <c r="CQ214" s="17">
        <f t="shared" si="232"/>
        <v>3.3699999999999997</v>
      </c>
      <c r="CR214" s="17">
        <f t="shared" si="233"/>
        <v>3.88</v>
      </c>
      <c r="CS214" s="17">
        <f t="shared" si="234"/>
        <v>4.8899999999999997</v>
      </c>
      <c r="CT214" s="2" cm="1">
        <f t="array" aca="1" ref="CT214" ca="1">MAX(_xlfn._xlws.FILTER(CM214:CS214,CM214:CS214&lt;BO214))</f>
        <v>2.36</v>
      </c>
      <c r="CU214" s="2" cm="1">
        <f t="array" aca="1" ref="CU214" ca="1">MIN(_xlfn._xlws.FILTER($CM214:$CS214,$CM214:$CS214&gt;BO214))</f>
        <v>3.3699999999999997</v>
      </c>
      <c r="CV214" s="16">
        <f t="shared" ca="1" si="248"/>
        <v>0.42796610169491522</v>
      </c>
      <c r="CW214" s="20">
        <f t="shared" ca="1" si="249"/>
        <v>-0.21398305084745761</v>
      </c>
      <c r="CX214" s="20">
        <f t="shared" ca="1" si="250"/>
        <v>-0.14265536723163841</v>
      </c>
      <c r="CY214" s="20">
        <f t="shared" ca="1" si="251"/>
        <v>-8.5593220338983048E-2</v>
      </c>
      <c r="CZ214" s="20">
        <f t="shared" ca="1" si="252"/>
        <v>-4.7551789077212803E-2</v>
      </c>
      <c r="DA214" s="20">
        <f t="shared" ca="1" si="253"/>
        <v>-2.517447657028913E-2</v>
      </c>
      <c r="DB214" s="20">
        <f t="shared" ca="1" si="254"/>
        <v>-1.2968669748330764E-2</v>
      </c>
      <c r="DC214" s="20">
        <f t="shared" ca="1" si="255"/>
        <v>-6.5840938722294649E-3</v>
      </c>
      <c r="DD214" s="21">
        <f t="shared" ca="1" si="256"/>
        <v>6.5840938722294649E-3</v>
      </c>
      <c r="DE214" s="21">
        <f t="shared" ca="1" si="257"/>
        <v>1.2968669748330764E-2</v>
      </c>
      <c r="DF214" s="21">
        <f t="shared" ca="1" si="258"/>
        <v>2.517447657028913E-2</v>
      </c>
      <c r="DG214" s="21">
        <f t="shared" ca="1" si="259"/>
        <v>4.7551789077212803E-2</v>
      </c>
      <c r="DH214" s="21">
        <f t="shared" ca="1" si="260"/>
        <v>8.5593220338983048E-2</v>
      </c>
      <c r="DI214" s="21">
        <f t="shared" ca="1" si="261"/>
        <v>0.14265536723163841</v>
      </c>
      <c r="DJ214" s="21">
        <f t="shared" ca="1" si="262"/>
        <v>0.21398305084745761</v>
      </c>
      <c r="DL214" s="16" cm="1">
        <f t="array" aca="1" ref="DL214" ca="1">MAX(_xlfn._xlws.FILTER(CW214:DJ214,CW214:DJ214&lt;BU214))</f>
        <v>-1.2968669748330764E-2</v>
      </c>
      <c r="DM214" s="16" cm="1">
        <f t="array" aca="1" ref="DM214" ca="1">MIN(_xlfn._xlws.FILTER(CW214:DJ214,CW214:DJ214&gt;BU214))</f>
        <v>-6.5840938722294649E-3</v>
      </c>
      <c r="DN214" s="2" cm="1">
        <f t="array" aca="1" ref="DN214" ca="1">_FV(EC214,"Fechamento anterior",TRUE)</f>
        <v>2.88</v>
      </c>
      <c r="DO214" s="28">
        <f t="shared" ca="1" si="235"/>
        <v>0.94355919966997137</v>
      </c>
      <c r="DP214" s="15">
        <f t="shared" ca="1" si="263"/>
        <v>2.8426502311248072</v>
      </c>
      <c r="DQ214" s="15">
        <f t="shared" ca="1" si="264"/>
        <v>2.8610378096479789</v>
      </c>
      <c r="DR214" s="9"/>
      <c r="DS214" s="9"/>
      <c r="DT214" s="9"/>
      <c r="DU214" s="89">
        <v>6.185300207039339E-2</v>
      </c>
      <c r="DV214" s="89">
        <f t="shared" ca="1" si="236"/>
        <v>6.3845758761012991E-3</v>
      </c>
      <c r="DW214" s="72">
        <f t="shared" ca="1" si="237"/>
        <v>-0.50976784341605152</v>
      </c>
      <c r="DX214" s="37"/>
      <c r="DY214" s="35">
        <f t="shared" si="247"/>
        <v>0.29425159302882337</v>
      </c>
      <c r="DZ214" s="56"/>
      <c r="EA214" s="56"/>
      <c r="EC214" s="2" t="e" vm="216">
        <v>#VALUE!</v>
      </c>
      <c r="EE214" s="10" cm="1">
        <f t="array" aca="1" ref="EE214" ca="1">_FV(EC214,"Ações em circulação",TRUE)</f>
        <v>133851100</v>
      </c>
      <c r="EF214" s="18">
        <f>VLOOKUP(BP214,Fundamentus!A:U,5,FALSE)</f>
        <v>0.26200000000000001</v>
      </c>
      <c r="EG214" s="2">
        <f t="shared" ca="1" si="238"/>
        <v>1461122694.6564884</v>
      </c>
      <c r="EH214" s="17">
        <v>189799838.03587782</v>
      </c>
      <c r="EI214" s="17">
        <f t="shared" ca="1" si="239"/>
        <v>189799838.03587782</v>
      </c>
      <c r="EK214" s="16">
        <f t="shared" ca="1" si="226"/>
        <v>0</v>
      </c>
      <c r="EL214" s="32" t="str">
        <f>IF(VLOOKUP(BP214,Fundamentus!A:U,3,FALSE)&lt;15,"Bom",IF(VLOOKUP(BP214,Fundamentus!A:U,3,FALSE)&gt;15,"Ruim","n/a"))</f>
        <v>Bom</v>
      </c>
      <c r="EM214" s="28" t="str">
        <f>IF(VLOOKUP(BP214,Fundamentus!A:U,4,FALSE)&lt;1,"Baixo",IF(VLOOKUP(BP214,Fundamentus!A:U,4,FALSE)&lt;1.5,"Moderado",IF(VLOOKUP(BP214,Fundamentus!A:U,4,FALSE)&gt;1.5,"Alto","n/a")))</f>
        <v>Baixo</v>
      </c>
      <c r="EN214" s="17" t="str">
        <f>IF(VLOOKUP(BP214,Fundamentus!A:U,8,FALSE)&lt;0,"Risco elevado",IF(VLOOKUP(BP214,Fundamentus!A:U,8,FALSE)&lt;1,"Saudável",IF(VLOOKUP(BP214,Fundamentus!A:U,8,FALSE)&lt;3,"Estável",IF(VLOOKUP(BP214,Fundamentus!A:U,8,FALSE)&gt;3,"Alerta","n/a"))))</f>
        <v>Saudável</v>
      </c>
      <c r="EO214" s="28" t="str">
        <f t="shared" si="240"/>
        <v>Ruim</v>
      </c>
      <c r="EP214" s="17" t="str">
        <f>IF(VLOOKUP(BP214,Fundamentus!A:U,12,FALSE)&lt;2,"Subvalorizada",IF(VLOOKUP(BP214,Fundamentus!A:U,12,FALSE)&lt;6,"Muita barata",IF(VLOOKUP(BP214,Fundamentus!A:U,12,FALSE)&lt;6,"Barata",IF(VLOOKUP(BP214,Fundamentus!A:U,12,FALSE)&lt;8,"Atrativa",IF(VLOOKUP(BP214,Fundamentus!A:U,12,FALSE)&gt;8,"Supervalorizada","n/a")))))</f>
        <v>Atrativa</v>
      </c>
      <c r="ER214" s="17" t="str">
        <f>IF(VLOOKUP(BP214,Fundamentus!A:U,17,FALSE)&lt;0.1,"Fraco retorno",IF(VLOOKUP(BP214,Fundamentus!A:U,17,FALSE)&gt;0.1,"Bom retorno","n/a"))</f>
        <v>Fraco retorno</v>
      </c>
      <c r="ES214" s="17" t="str">
        <f>IF(VLOOKUP(BP214,Fundamentus!A:U,16,FALSE)&lt;0.1,"Ineficiente",IF(VLOOKUP(BP214,Fundamentus!A:U,16,FALSE)&gt;0.1,"Eficiente","n/a"))</f>
        <v>Ineficiente</v>
      </c>
      <c r="ET214" s="33" t="str">
        <f>IF(VLOOKUP(BP214,Fundamentus!A:U,16,FALSE)&lt;0.1,"Oper. Ineficiente",IF(VLOOKUP(BP214,Fundamentus!A:U,16,FALSE)&gt;0.1,"Oper.Eficiente","n/a"))</f>
        <v>Oper. Ineficiente</v>
      </c>
      <c r="EU214" s="34">
        <f>VLOOKUP(BP214,Fundamentus!A:U,14,FALSE)</f>
        <v>0.12989999999999999</v>
      </c>
      <c r="EV214" s="17" t="str">
        <f>IF(VLOOKUP(BP214,Fundamentus!A:U,21,FALSE)&lt;0,"Negativo",IF(VLOOKUP(BP214,Fundamentus!A:U,21,FALSE)&lt;0.05,"Fraco",IF(VLOOKUP(BP214,Fundamentus!A:U,21,FALSE)&lt;0.1,"Bom",IF(VLOOKUP(BP214,Fundamentus!A:U,21,FALSE)&gt;0.1,"Muito bom","n/a"))))</f>
        <v>Bom</v>
      </c>
      <c r="EX214" s="29" t="str">
        <f>IF(VLOOKUP(BP214,Fundamentus!A:U,15,FALSE)&gt;1,"Bom",IF(VLOOKUP(BP214,Fundamentus!A:U,15,FALSE)&lt;1,"Ruim","n/a"))</f>
        <v>Bom</v>
      </c>
      <c r="EY214" s="17" t="str">
        <f>IF(VLOOKUP(BP214,Fundamentus!A:U,20,FALSE)&lt;0.5,"Baixa",IF(VLOOKUP(BP214,Fundamentus!A:U,20,FALSE)&lt;1,"Moderada",IF(VLOOKUP(BP214,Fundamentus!A:U,20,FALSE)&lt;2,"Alerta",IF(VLOOKUP(BP214,Fundamentus!A:U,20,FALSE)&gt;2,"Alta","n/a"))))</f>
        <v>Alerta</v>
      </c>
    </row>
    <row r="215" spans="1:156" s="2" customFormat="1" ht="11.25" x14ac:dyDescent="0.2">
      <c r="A215" s="4">
        <v>29.91</v>
      </c>
      <c r="B215" s="4">
        <v>30.67</v>
      </c>
      <c r="C215" s="4">
        <v>32.47</v>
      </c>
      <c r="D215" s="4">
        <v>29.82</v>
      </c>
      <c r="E215" s="4">
        <v>30</v>
      </c>
      <c r="F215" s="4">
        <v>29.8</v>
      </c>
      <c r="G215" s="4">
        <v>29.51</v>
      </c>
      <c r="H215" s="4">
        <v>29.49</v>
      </c>
      <c r="I215" s="4">
        <v>29.41</v>
      </c>
      <c r="J215" s="4">
        <v>29.32</v>
      </c>
      <c r="K215" s="4">
        <v>29.4</v>
      </c>
      <c r="L215" s="4">
        <v>30.25</v>
      </c>
      <c r="M215" s="4">
        <v>29.01</v>
      </c>
      <c r="N215" s="4">
        <v>29.19</v>
      </c>
      <c r="O215" s="4">
        <v>29.3</v>
      </c>
      <c r="P215" s="4">
        <v>28.79</v>
      </c>
      <c r="Q215" s="4">
        <v>28.51</v>
      </c>
      <c r="R215" s="4">
        <v>28.98</v>
      </c>
      <c r="S215" s="4">
        <v>28.69</v>
      </c>
      <c r="T215" s="4">
        <v>29.19</v>
      </c>
      <c r="U215" s="4">
        <v>28.11</v>
      </c>
      <c r="V215" s="4">
        <v>26.61</v>
      </c>
      <c r="W215" s="4">
        <v>26.3</v>
      </c>
      <c r="X215" s="4">
        <v>25.5</v>
      </c>
      <c r="Y215" s="4">
        <v>25.12</v>
      </c>
      <c r="Z215" s="4">
        <v>25.09</v>
      </c>
      <c r="AA215" s="4">
        <v>24.75</v>
      </c>
      <c r="AB215" s="4">
        <v>24.6</v>
      </c>
      <c r="AC215" s="4">
        <v>24.5</v>
      </c>
      <c r="AD215" s="4">
        <v>22.57</v>
      </c>
      <c r="AE215" s="4">
        <v>22.13</v>
      </c>
      <c r="AF215" s="4">
        <v>22.25</v>
      </c>
      <c r="AG215" s="4">
        <v>21.45</v>
      </c>
      <c r="AH215" s="4">
        <v>20.94</v>
      </c>
      <c r="AI215" s="4">
        <v>20.85</v>
      </c>
      <c r="AJ215" s="4">
        <v>19.899999999999999</v>
      </c>
      <c r="AK215" s="4">
        <v>19.899999999999999</v>
      </c>
      <c r="AL215" s="4">
        <v>19.38</v>
      </c>
      <c r="AM215" s="4">
        <v>19.010000000000002</v>
      </c>
      <c r="AN215" s="4">
        <v>20.059999999999999</v>
      </c>
      <c r="AO215" s="4">
        <v>19.75</v>
      </c>
      <c r="AP215" s="4">
        <v>19.21</v>
      </c>
      <c r="AQ215" s="4">
        <v>19.48</v>
      </c>
      <c r="AR215" s="4">
        <v>19.18</v>
      </c>
      <c r="AS215" s="4">
        <v>18.55</v>
      </c>
      <c r="AT215" s="4">
        <v>18.68</v>
      </c>
      <c r="AU215" s="4">
        <v>18.704999999999998</v>
      </c>
      <c r="AV215" s="4">
        <v>18.989999999999998</v>
      </c>
      <c r="AW215" s="4">
        <v>18.510000000000002</v>
      </c>
      <c r="AX215" s="4">
        <v>18.05</v>
      </c>
      <c r="AY215" s="12">
        <v>19</v>
      </c>
      <c r="AZ215" s="12">
        <v>21.49</v>
      </c>
      <c r="BA215" s="12">
        <v>21.15</v>
      </c>
      <c r="BB215" s="15">
        <v>20.97</v>
      </c>
      <c r="BC215" s="52">
        <v>21.05</v>
      </c>
      <c r="BD215" s="52">
        <v>20.69</v>
      </c>
      <c r="BE215" s="52">
        <v>21.99</v>
      </c>
      <c r="BF215" s="52">
        <v>20.59</v>
      </c>
      <c r="BG215" s="67">
        <v>19.14</v>
      </c>
      <c r="BH215" s="52">
        <v>18.98</v>
      </c>
      <c r="BI215" s="52">
        <v>17.510000000000002</v>
      </c>
      <c r="BJ215" s="52">
        <v>16.170000000000002</v>
      </c>
      <c r="BK215" s="52">
        <v>16.059999999999999</v>
      </c>
      <c r="BL215" s="52">
        <v>16</v>
      </c>
      <c r="BM215" s="52">
        <v>16.079999999999998</v>
      </c>
      <c r="BN215" s="52">
        <v>15.3</v>
      </c>
      <c r="BO215" s="52" cm="1">
        <f t="array" aca="1" ref="BO215" ca="1">_FV(EC215,"Preço")</f>
        <v>15.3</v>
      </c>
      <c r="BP215" s="69" t="s">
        <v>211</v>
      </c>
      <c r="BQ215" s="36" cm="1">
        <f t="array" aca="1" ref="BQ215" ca="1">_FV(EC215,"Média de volume",TRUE)</f>
        <v>1360</v>
      </c>
      <c r="BR215" s="36">
        <v>300</v>
      </c>
      <c r="BS215" s="36" cm="1">
        <f t="array" aca="1" ref="BS215" ca="1">_FV(EC215,"Volume")</f>
        <v>300</v>
      </c>
      <c r="BT215" s="24" cm="1">
        <f t="array" aca="1" ref="BT215" ca="1">_FV(EC215,"Beta")</f>
        <v>0.82989999999999997</v>
      </c>
      <c r="BU215" s="71" cm="1">
        <f t="array" aca="1" ref="BU215" ca="1">_FV(EC215,"Variação (%)",TRUE)</f>
        <v>-3.1646000000000001E-2</v>
      </c>
      <c r="BW215" s="17" cm="1">
        <f t="array" aca="1" ref="BW215" ca="1">_FV(EC215,"Baixo")</f>
        <v>15.3</v>
      </c>
      <c r="BX215" s="17" cm="1">
        <f t="array" aca="1" ref="BX215" ca="1">_FV(EC215,"Alto")</f>
        <v>15.75</v>
      </c>
      <c r="BY215" s="24"/>
      <c r="BZ215" s="63" t="e">
        <f ca="1">SQRT(22.5*(BO215/VLOOKUP(BP215,Fundamentus!A:U,3,FALSE))*(BO215/VLOOKUP(BP215,Fundamentus!A:U,4,FALSE)))</f>
        <v>#NUM!</v>
      </c>
      <c r="CB215" s="62">
        <f t="shared" ca="1" si="241"/>
        <v>0</v>
      </c>
      <c r="CC215" s="8"/>
      <c r="CD215" s="61">
        <f t="shared" si="242"/>
        <v>15.3</v>
      </c>
      <c r="CE215" s="61">
        <f t="shared" si="243"/>
        <v>32.47</v>
      </c>
      <c r="CF215" s="61">
        <f t="shared" si="244"/>
        <v>23.363712121212128</v>
      </c>
      <c r="CG215" s="14"/>
      <c r="CH215" s="35">
        <f t="shared" si="227"/>
        <v>14.678506532100238</v>
      </c>
      <c r="CI215" s="15">
        <f t="shared" si="245"/>
        <v>15.309999999999945</v>
      </c>
      <c r="CJ215" s="35">
        <f t="shared" si="228"/>
        <v>15.941493467899653</v>
      </c>
      <c r="CL215" s="14"/>
      <c r="CM215" s="17">
        <f t="shared" si="229"/>
        <v>-7.5933333333333373</v>
      </c>
      <c r="CN215" s="17">
        <f t="shared" si="230"/>
        <v>3.8533333333333317</v>
      </c>
      <c r="CO215" s="17">
        <f t="shared" si="231"/>
        <v>9.5766666666666609</v>
      </c>
      <c r="CP215" s="38">
        <f t="shared" si="246"/>
        <v>21.02333333333333</v>
      </c>
      <c r="CQ215" s="17">
        <f t="shared" si="232"/>
        <v>26.746666666666659</v>
      </c>
      <c r="CR215" s="17">
        <f t="shared" si="233"/>
        <v>38.193333333333328</v>
      </c>
      <c r="CS215" s="17">
        <f t="shared" si="234"/>
        <v>43.916666666666657</v>
      </c>
      <c r="CT215" s="2" cm="1">
        <f t="array" aca="1" ref="CT215" ca="1">MAX(_xlfn._xlws.FILTER(CM215:CS215,CM215:CS215&lt;BO215))</f>
        <v>9.5766666666666609</v>
      </c>
      <c r="CU215" s="2" cm="1">
        <f t="array" aca="1" ref="CU215" ca="1">MIN(_xlfn._xlws.FILTER($CM215:$CS215,$CM215:$CS215&gt;BO215))</f>
        <v>21.02333333333333</v>
      </c>
      <c r="CV215" s="16">
        <f t="shared" ca="1" si="248"/>
        <v>1.1952662721893499</v>
      </c>
      <c r="CW215" s="20">
        <f t="shared" ca="1" si="249"/>
        <v>-0.59763313609467494</v>
      </c>
      <c r="CX215" s="20">
        <f t="shared" ca="1" si="250"/>
        <v>-0.3984220907297833</v>
      </c>
      <c r="CY215" s="20">
        <f t="shared" ca="1" si="251"/>
        <v>-0.23905325443786998</v>
      </c>
      <c r="CZ215" s="20">
        <f t="shared" ca="1" si="252"/>
        <v>-0.13280736357659442</v>
      </c>
      <c r="DA215" s="20">
        <f t="shared" ca="1" si="253"/>
        <v>-7.0309780717020584E-2</v>
      </c>
      <c r="DB215" s="20">
        <f t="shared" ca="1" si="254"/>
        <v>-3.6220190066343937E-2</v>
      </c>
      <c r="DC215" s="20">
        <f t="shared" ca="1" si="255"/>
        <v>-1.838871187983615E-2</v>
      </c>
      <c r="DD215" s="21">
        <f t="shared" ca="1" si="256"/>
        <v>1.838871187983615E-2</v>
      </c>
      <c r="DE215" s="21">
        <f t="shared" ca="1" si="257"/>
        <v>3.6220190066343937E-2</v>
      </c>
      <c r="DF215" s="21">
        <f t="shared" ca="1" si="258"/>
        <v>7.0309780717020584E-2</v>
      </c>
      <c r="DG215" s="21">
        <f t="shared" ca="1" si="259"/>
        <v>0.13280736357659442</v>
      </c>
      <c r="DH215" s="21">
        <f t="shared" ca="1" si="260"/>
        <v>0.23905325443786998</v>
      </c>
      <c r="DI215" s="21">
        <f t="shared" ca="1" si="261"/>
        <v>0.3984220907297833</v>
      </c>
      <c r="DJ215" s="21">
        <f t="shared" ca="1" si="262"/>
        <v>0.59763313609467494</v>
      </c>
      <c r="DL215" s="16" cm="1">
        <f t="array" aca="1" ref="DL215" ca="1">MAX(_xlfn._xlws.FILTER(CW215:DJ215,CW215:DJ215&lt;BU215))</f>
        <v>-3.6220190066343937E-2</v>
      </c>
      <c r="DM215" s="16" cm="1">
        <f t="array" aca="1" ref="DM215" ca="1">MIN(_xlfn._xlws.FILTER(CW215:DJ215,CW215:DJ215&gt;BU215))</f>
        <v>-1.838871187983615E-2</v>
      </c>
      <c r="DN215" s="2" cm="1">
        <f t="array" aca="1" ref="DN215" ca="1">_FV(EC215,"Fechamento anterior",TRUE)</f>
        <v>15.8</v>
      </c>
      <c r="DO215" s="28">
        <f t="shared" ca="1" si="235"/>
        <v>0.25654746052136884</v>
      </c>
      <c r="DP215" s="15">
        <f t="shared" ca="1" si="263"/>
        <v>15.227720996951767</v>
      </c>
      <c r="DQ215" s="15">
        <f t="shared" ca="1" si="264"/>
        <v>15.509458352298589</v>
      </c>
      <c r="DR215" s="9"/>
      <c r="DS215" s="9"/>
      <c r="DT215" s="9"/>
      <c r="DU215" s="89">
        <v>3.2145209690404748E-2</v>
      </c>
      <c r="DV215" s="89">
        <f t="shared" ca="1" si="236"/>
        <v>1.7831478186507786E-2</v>
      </c>
      <c r="DW215" s="72">
        <f t="shared" ca="1" si="237"/>
        <v>-1.5835476546105624E-2</v>
      </c>
      <c r="DX215" s="37"/>
      <c r="DY215" s="35">
        <f t="shared" si="247"/>
        <v>0.31574673394985386</v>
      </c>
      <c r="DZ215" s="56"/>
      <c r="EA215" s="56"/>
      <c r="EC215" s="2" t="e" vm="217">
        <v>#VALUE!</v>
      </c>
      <c r="EE215" s="10" cm="1">
        <f t="array" aca="1" ref="EE215" ca="1">_FV(EC215,"Ações em circulação",TRUE)</f>
        <v>29018750</v>
      </c>
      <c r="EF215" s="18">
        <f>VLOOKUP(BP215,Fundamentus!A:U,5,FALSE)</f>
        <v>0.66100000000000003</v>
      </c>
      <c r="EG215" s="2">
        <f t="shared" ca="1" si="238"/>
        <v>671689674.73524964</v>
      </c>
      <c r="EH215" s="17">
        <v>-110895965.29878971</v>
      </c>
      <c r="EI215" s="17">
        <f t="shared" ca="1" si="239"/>
        <v>-110895965.29878971</v>
      </c>
      <c r="EK215" s="16">
        <f t="shared" ca="1" si="226"/>
        <v>0</v>
      </c>
      <c r="EL215" s="32" t="str">
        <f>IF(VLOOKUP(BP215,Fundamentus!A:U,3,FALSE)&lt;15,"Bom",IF(VLOOKUP(BP215,Fundamentus!A:U,3,FALSE)&gt;15,"Ruim","n/a"))</f>
        <v>Bom</v>
      </c>
      <c r="EM215" s="28" t="str">
        <f>IF(VLOOKUP(BP215,Fundamentus!A:U,4,FALSE)&lt;1,"Baixo",IF(VLOOKUP(BP215,Fundamentus!A:U,4,FALSE)&lt;1.5,"Moderado",IF(VLOOKUP(BP215,Fundamentus!A:U,4,FALSE)&gt;1.5,"Alto","n/a")))</f>
        <v>Baixo</v>
      </c>
      <c r="EN215" s="17" t="str">
        <f>IF(VLOOKUP(BP215,Fundamentus!A:U,8,FALSE)&lt;0,"Risco elevado",IF(VLOOKUP(BP215,Fundamentus!A:U,8,FALSE)&lt;1,"Saudável",IF(VLOOKUP(BP215,Fundamentus!A:U,8,FALSE)&lt;3,"Estável",IF(VLOOKUP(BP215,Fundamentus!A:U,8,FALSE)&gt;3,"Alerta","n/a"))))</f>
        <v>Estável</v>
      </c>
      <c r="EO215" s="28" t="str">
        <f t="shared" si="240"/>
        <v>Ruim</v>
      </c>
      <c r="EP215" s="17" t="str">
        <f>IF(VLOOKUP(BP215,Fundamentus!A:U,12,FALSE)&lt;2,"Subvalorizada",IF(VLOOKUP(BP215,Fundamentus!A:U,12,FALSE)&lt;6,"Muita barata",IF(VLOOKUP(BP215,Fundamentus!A:U,12,FALSE)&lt;6,"Barata",IF(VLOOKUP(BP215,Fundamentus!A:U,12,FALSE)&lt;8,"Atrativa",IF(VLOOKUP(BP215,Fundamentus!A:U,12,FALSE)&gt;8,"Supervalorizada","n/a")))))</f>
        <v>Subvalorizada</v>
      </c>
      <c r="ER215" s="17" t="str">
        <f>IF(VLOOKUP(BP215,Fundamentus!A:U,17,FALSE)&lt;0.1,"Fraco retorno",IF(VLOOKUP(BP215,Fundamentus!A:U,17,FALSE)&gt;0.1,"Bom retorno","n/a"))</f>
        <v>Fraco retorno</v>
      </c>
      <c r="ES215" s="17" t="str">
        <f>IF(VLOOKUP(BP215,Fundamentus!A:U,16,FALSE)&lt;0.1,"Ineficiente",IF(VLOOKUP(BP215,Fundamentus!A:U,16,FALSE)&gt;0.1,"Eficiente","n/a"))</f>
        <v>Ineficiente</v>
      </c>
      <c r="ET215" s="33" t="str">
        <f>IF(VLOOKUP(BP215,Fundamentus!A:U,16,FALSE)&lt;0.1,"Oper. Ineficiente",IF(VLOOKUP(BP215,Fundamentus!A:U,16,FALSE)&gt;0.1,"Oper.Eficiente","n/a"))</f>
        <v>Oper. Ineficiente</v>
      </c>
      <c r="EU215" s="34">
        <f>VLOOKUP(BP215,Fundamentus!A:U,14,FALSE)</f>
        <v>-0.1651</v>
      </c>
      <c r="EV215" s="17" t="str">
        <f>IF(VLOOKUP(BP215,Fundamentus!A:U,21,FALSE)&lt;0,"Negativo",IF(VLOOKUP(BP215,Fundamentus!A:U,21,FALSE)&lt;0.05,"Fraco",IF(VLOOKUP(BP215,Fundamentus!A:U,21,FALSE)&lt;0.1,"Bom",IF(VLOOKUP(BP215,Fundamentus!A:U,21,FALSE)&gt;0.1,"Muito bom","n/a"))))</f>
        <v>Negativo</v>
      </c>
      <c r="EX215" s="29" t="str">
        <f>IF(VLOOKUP(BP215,Fundamentus!A:U,15,FALSE)&gt;1,"Bom",IF(VLOOKUP(BP215,Fundamentus!A:U,15,FALSE)&lt;1,"Ruim","n/a"))</f>
        <v>Bom</v>
      </c>
      <c r="EY215" s="17" t="str">
        <f>IF(VLOOKUP(BP215,Fundamentus!A:U,20,FALSE)&lt;0.5,"Baixa",IF(VLOOKUP(BP215,Fundamentus!A:U,20,FALSE)&lt;1,"Moderada",IF(VLOOKUP(BP215,Fundamentus!A:U,20,FALSE)&lt;2,"Alerta",IF(VLOOKUP(BP215,Fundamentus!A:U,20,FALSE)&gt;2,"Alta","n/a"))))</f>
        <v>Baixa</v>
      </c>
    </row>
    <row r="216" spans="1:156" s="2" customFormat="1" ht="11.25" x14ac:dyDescent="0.2">
      <c r="A216" s="4">
        <v>41</v>
      </c>
      <c r="B216" s="4">
        <v>41</v>
      </c>
      <c r="C216" s="4">
        <v>39.49</v>
      </c>
      <c r="D216" s="4">
        <v>38.25</v>
      </c>
      <c r="E216" s="4">
        <v>35.65</v>
      </c>
      <c r="F216" s="4">
        <v>35.799999999999997</v>
      </c>
      <c r="G216" s="4">
        <v>35.71</v>
      </c>
      <c r="H216" s="4">
        <v>35</v>
      </c>
      <c r="I216" s="4">
        <v>35.75</v>
      </c>
      <c r="J216" s="4">
        <v>39.880000000000003</v>
      </c>
      <c r="K216" s="4">
        <v>41.69</v>
      </c>
      <c r="L216" s="4">
        <v>40.299999999999997</v>
      </c>
      <c r="M216" s="4">
        <v>38.25</v>
      </c>
      <c r="N216" s="4">
        <v>36.4</v>
      </c>
      <c r="O216" s="4">
        <v>35.08</v>
      </c>
      <c r="P216" s="4">
        <v>36.28</v>
      </c>
      <c r="Q216" s="4">
        <v>36.57</v>
      </c>
      <c r="R216" s="4">
        <v>35.01</v>
      </c>
      <c r="S216" s="4">
        <v>36.06</v>
      </c>
      <c r="T216" s="4">
        <v>37.96</v>
      </c>
      <c r="U216" s="4">
        <v>36</v>
      </c>
      <c r="V216" s="4">
        <v>33.5</v>
      </c>
      <c r="W216" s="4">
        <v>34.89</v>
      </c>
      <c r="X216" s="4">
        <v>30.13</v>
      </c>
      <c r="Y216" s="4">
        <v>28.82</v>
      </c>
      <c r="Z216" s="4">
        <v>26.09</v>
      </c>
      <c r="AA216" s="4">
        <v>25.96</v>
      </c>
      <c r="AB216" s="4">
        <v>24.71</v>
      </c>
      <c r="AC216" s="4">
        <v>23.61</v>
      </c>
      <c r="AD216" s="4">
        <v>22.04</v>
      </c>
      <c r="AE216" s="4">
        <v>19.96</v>
      </c>
      <c r="AF216" s="4">
        <v>20.05</v>
      </c>
      <c r="AG216" s="4">
        <v>20</v>
      </c>
      <c r="AH216" s="4">
        <v>20.420000000000002</v>
      </c>
      <c r="AI216" s="4">
        <v>20.73</v>
      </c>
      <c r="AJ216" s="4">
        <v>20.25</v>
      </c>
      <c r="AK216" s="4">
        <v>20.04</v>
      </c>
      <c r="AL216" s="4">
        <v>20.100000000000001</v>
      </c>
      <c r="AM216" s="4">
        <v>20.07</v>
      </c>
      <c r="AN216" s="4">
        <v>20.94</v>
      </c>
      <c r="AO216" s="4">
        <v>20.7</v>
      </c>
      <c r="AP216" s="4">
        <v>21.77</v>
      </c>
      <c r="AQ216" s="4">
        <v>20.89</v>
      </c>
      <c r="AR216" s="4">
        <v>21.75</v>
      </c>
      <c r="AS216" s="4">
        <v>21.42</v>
      </c>
      <c r="AT216" s="4">
        <v>21.5</v>
      </c>
      <c r="AU216" s="4">
        <v>21.934999999999999</v>
      </c>
      <c r="AV216" s="4">
        <v>21.06</v>
      </c>
      <c r="AW216" s="4">
        <v>21.17</v>
      </c>
      <c r="AX216" s="4">
        <v>21.22</v>
      </c>
      <c r="AY216" s="12">
        <v>21.25</v>
      </c>
      <c r="AZ216" s="12">
        <v>22.25</v>
      </c>
      <c r="BA216" s="12">
        <v>22.32</v>
      </c>
      <c r="BB216" s="15">
        <v>22.61</v>
      </c>
      <c r="BC216" s="52">
        <v>24.7</v>
      </c>
      <c r="BD216" s="52">
        <v>24.7</v>
      </c>
      <c r="BE216" s="52">
        <v>25.55</v>
      </c>
      <c r="BF216" s="52">
        <v>25.45</v>
      </c>
      <c r="BG216" s="67">
        <v>25.51</v>
      </c>
      <c r="BH216" s="52">
        <v>25.5</v>
      </c>
      <c r="BI216" s="52">
        <v>25.4</v>
      </c>
      <c r="BJ216" s="52">
        <v>26</v>
      </c>
      <c r="BK216" s="52">
        <v>25.85</v>
      </c>
      <c r="BL216" s="52">
        <v>26.17</v>
      </c>
      <c r="BM216" s="52">
        <v>24.75</v>
      </c>
      <c r="BN216" s="52">
        <v>25.45</v>
      </c>
      <c r="BO216" s="52" cm="1">
        <f t="array" aca="1" ref="BO216" ca="1">_FV(EC216,"Preço")</f>
        <v>25.45</v>
      </c>
      <c r="BP216" s="69" t="s">
        <v>212</v>
      </c>
      <c r="BQ216" s="36" cm="1">
        <f t="array" aca="1" ref="BQ216" ca="1">_FV(EC216,"Média de volume",TRUE)</f>
        <v>11730</v>
      </c>
      <c r="BR216" s="36">
        <v>4800</v>
      </c>
      <c r="BS216" s="36" cm="1">
        <f t="array" aca="1" ref="BS216" ca="1">_FV(EC216,"Volume")</f>
        <v>4800</v>
      </c>
      <c r="BT216" s="24" cm="1">
        <f t="array" aca="1" ref="BT216" ca="1">_FV(EC216,"Beta")</f>
        <v>0.97299999999999998</v>
      </c>
      <c r="BU216" s="71" cm="1">
        <f t="array" aca="1" ref="BU216" ca="1">_FV(EC216,"Variação (%)",TRUE)</f>
        <v>-2.3519999999999999E-3</v>
      </c>
      <c r="BW216" s="17" cm="1">
        <f t="array" aca="1" ref="BW216" ca="1">_FV(EC216,"Baixo")</f>
        <v>25.07</v>
      </c>
      <c r="BX216" s="17" cm="1">
        <f t="array" aca="1" ref="BX216" ca="1">_FV(EC216,"Alto")</f>
        <v>25.51</v>
      </c>
      <c r="BY216" s="24"/>
      <c r="BZ216" s="63">
        <f ca="1">SQRT(22.5*(BO216/VLOOKUP(BP216,Fundamentus!A:U,3,FALSE))*(BO216/VLOOKUP(BP216,Fundamentus!A:U,4,FALSE)))</f>
        <v>12.127698067594597</v>
      </c>
      <c r="CB216" s="62">
        <f t="shared" ca="1" si="241"/>
        <v>0</v>
      </c>
      <c r="CC216" s="8"/>
      <c r="CD216" s="61">
        <f t="shared" si="242"/>
        <v>19.96</v>
      </c>
      <c r="CE216" s="61">
        <f t="shared" si="243"/>
        <v>41.69</v>
      </c>
      <c r="CF216" s="61">
        <f t="shared" si="244"/>
        <v>27.974469696969706</v>
      </c>
      <c r="CG216" s="14"/>
      <c r="CH216" s="35">
        <f t="shared" si="227"/>
        <v>23.886996544922074</v>
      </c>
      <c r="CI216" s="15">
        <f t="shared" si="245"/>
        <v>24.900000000000091</v>
      </c>
      <c r="CJ216" s="35">
        <f t="shared" si="228"/>
        <v>25.913003455078108</v>
      </c>
      <c r="CL216" s="14"/>
      <c r="CM216" s="17">
        <f t="shared" si="229"/>
        <v>-5.3533333333333317</v>
      </c>
      <c r="CN216" s="17">
        <f t="shared" si="230"/>
        <v>7.3033333333333346</v>
      </c>
      <c r="CO216" s="17">
        <f t="shared" si="231"/>
        <v>16.376666666666665</v>
      </c>
      <c r="CP216" s="38">
        <f t="shared" si="246"/>
        <v>29.033333333333331</v>
      </c>
      <c r="CQ216" s="17">
        <f t="shared" si="232"/>
        <v>38.106666666666662</v>
      </c>
      <c r="CR216" s="17">
        <f t="shared" si="233"/>
        <v>50.763333333333328</v>
      </c>
      <c r="CS216" s="17">
        <f t="shared" si="234"/>
        <v>59.836666666666659</v>
      </c>
      <c r="CT216" s="2" cm="1">
        <f t="array" aca="1" ref="CT216" ca="1">MAX(_xlfn._xlws.FILTER(CM216:CS216,CM216:CS216&lt;BO216))</f>
        <v>16.376666666666665</v>
      </c>
      <c r="CU216" s="2" cm="1">
        <f t="array" aca="1" ref="CU216" ca="1">MIN(_xlfn._xlws.FILTER($CM216:$CS216,$CM216:$CS216&gt;BO216))</f>
        <v>29.033333333333331</v>
      </c>
      <c r="CV216" s="16">
        <f t="shared" ca="1" si="248"/>
        <v>0.77284754732342775</v>
      </c>
      <c r="CW216" s="20">
        <f t="shared" ca="1" si="249"/>
        <v>-0.38642377366171388</v>
      </c>
      <c r="CX216" s="20">
        <f t="shared" ca="1" si="250"/>
        <v>-0.25761584910780927</v>
      </c>
      <c r="CY216" s="20">
        <f t="shared" ca="1" si="251"/>
        <v>-0.15456950946468556</v>
      </c>
      <c r="CZ216" s="20">
        <f t="shared" ca="1" si="252"/>
        <v>-8.587194970260309E-2</v>
      </c>
      <c r="DA216" s="20">
        <f t="shared" ca="1" si="253"/>
        <v>-4.546162043078987E-2</v>
      </c>
      <c r="DB216" s="20">
        <f t="shared" ca="1" si="254"/>
        <v>-2.3419622646164477E-2</v>
      </c>
      <c r="DC216" s="20">
        <f t="shared" ca="1" si="255"/>
        <v>-1.1889962266514273E-2</v>
      </c>
      <c r="DD216" s="21">
        <f t="shared" ca="1" si="256"/>
        <v>1.1889962266514273E-2</v>
      </c>
      <c r="DE216" s="21">
        <f t="shared" ca="1" si="257"/>
        <v>2.3419622646164477E-2</v>
      </c>
      <c r="DF216" s="21">
        <f t="shared" ca="1" si="258"/>
        <v>4.546162043078987E-2</v>
      </c>
      <c r="DG216" s="21">
        <f t="shared" ca="1" si="259"/>
        <v>8.587194970260309E-2</v>
      </c>
      <c r="DH216" s="21">
        <f t="shared" ca="1" si="260"/>
        <v>0.15456950946468556</v>
      </c>
      <c r="DI216" s="21">
        <f t="shared" ca="1" si="261"/>
        <v>0.25761584910780927</v>
      </c>
      <c r="DJ216" s="21">
        <f t="shared" ca="1" si="262"/>
        <v>0.38642377366171388</v>
      </c>
      <c r="DL216" s="16" cm="1">
        <f t="array" aca="1" ref="DL216" ca="1">MAX(_xlfn._xlws.FILTER(CW216:DJ216,CW216:DJ216&lt;BU216))</f>
        <v>-1.1889962266514273E-2</v>
      </c>
      <c r="DM216" s="16" cm="1">
        <f t="array" aca="1" ref="DM216" ca="1">MIN(_xlfn._xlws.FILTER(CW216:DJ216,CW216:DJ216&gt;BU216))</f>
        <v>1.1889962266514273E-2</v>
      </c>
      <c r="DN216" s="2" cm="1">
        <f t="array" aca="1" ref="DN216" ca="1">_FV(EC216,"Fechamento anterior",TRUE)</f>
        <v>25.51</v>
      </c>
      <c r="DO216" s="28">
        <f t="shared" ca="1" si="235"/>
        <v>0.40109225061316633</v>
      </c>
      <c r="DP216" s="15">
        <f t="shared" ca="1" si="263"/>
        <v>25.206687062581221</v>
      </c>
      <c r="DQ216" s="15">
        <f t="shared" ca="1" si="264"/>
        <v>25.813312937418782</v>
      </c>
      <c r="DR216" s="9"/>
      <c r="DS216" s="9"/>
      <c r="DT216" s="9"/>
      <c r="DU216" s="89">
        <v>2.2664699350481442E-2</v>
      </c>
      <c r="DV216" s="89">
        <f t="shared" ca="1" si="236"/>
        <v>2.3779924533028546E-2</v>
      </c>
      <c r="DW216" s="72">
        <f t="shared" ca="1" si="237"/>
        <v>0.54293990533087533</v>
      </c>
      <c r="DX216" s="37"/>
      <c r="DY216" s="35">
        <f t="shared" si="247"/>
        <v>0.50650172753900902</v>
      </c>
      <c r="DZ216" s="56"/>
      <c r="EA216" s="56"/>
      <c r="EC216" s="2" t="e" vm="218">
        <v>#VALUE!</v>
      </c>
      <c r="EE216" s="10" cm="1">
        <f t="array" aca="1" ref="EE216" ca="1">_FV(EC216,"Ações em circulação",TRUE)</f>
        <v>107306500</v>
      </c>
      <c r="EF216" s="18">
        <f>VLOOKUP(BP216,Fundamentus!A:U,5,FALSE)</f>
        <v>0.93899999999999995</v>
      </c>
      <c r="EG216" s="2">
        <f t="shared" ca="1" si="238"/>
        <v>2908360410.0106497</v>
      </c>
      <c r="EH216" s="17">
        <v>72999846.291267306</v>
      </c>
      <c r="EI216" s="17">
        <f t="shared" ca="1" si="239"/>
        <v>72999846.291267306</v>
      </c>
      <c r="EK216" s="16">
        <f t="shared" ca="1" si="226"/>
        <v>0</v>
      </c>
      <c r="EL216" s="32" t="str">
        <f>IF(VLOOKUP(BP216,Fundamentus!A:U,3,FALSE)&lt;15,"Bom",IF(VLOOKUP(BP216,Fundamentus!A:U,3,FALSE)&gt;15,"Ruim","n/a"))</f>
        <v>Ruim</v>
      </c>
      <c r="EM216" s="28" t="str">
        <f>IF(VLOOKUP(BP216,Fundamentus!A:U,4,FALSE)&lt;1,"Baixo",IF(VLOOKUP(BP216,Fundamentus!A:U,4,FALSE)&lt;1.5,"Moderado",IF(VLOOKUP(BP216,Fundamentus!A:U,4,FALSE)&gt;1.5,"Alto","n/a")))</f>
        <v>Alto</v>
      </c>
      <c r="EN216" s="17" t="str">
        <f>IF(VLOOKUP(BP216,Fundamentus!A:U,8,FALSE)&lt;0,"Risco elevado",IF(VLOOKUP(BP216,Fundamentus!A:U,8,FALSE)&lt;1,"Saudável",IF(VLOOKUP(BP216,Fundamentus!A:U,8,FALSE)&lt;3,"Estável",IF(VLOOKUP(BP216,Fundamentus!A:U,8,FALSE)&gt;3,"Alerta","n/a"))))</f>
        <v>Alerta</v>
      </c>
      <c r="EO216" s="28" t="str">
        <f t="shared" si="240"/>
        <v>Ruim</v>
      </c>
      <c r="EP216" s="17" t="str">
        <f>IF(VLOOKUP(BP216,Fundamentus!A:U,12,FALSE)&lt;2,"Subvalorizada",IF(VLOOKUP(BP216,Fundamentus!A:U,12,FALSE)&lt;6,"Muita barata",IF(VLOOKUP(BP216,Fundamentus!A:U,12,FALSE)&lt;6,"Barata",IF(VLOOKUP(BP216,Fundamentus!A:U,12,FALSE)&lt;8,"Atrativa",IF(VLOOKUP(BP216,Fundamentus!A:U,12,FALSE)&gt;8,"Supervalorizada","n/a")))))</f>
        <v>Atrativa</v>
      </c>
      <c r="ER216" s="17" t="str">
        <f>IF(VLOOKUP(BP216,Fundamentus!A:U,17,FALSE)&lt;0.1,"Fraco retorno",IF(VLOOKUP(BP216,Fundamentus!A:U,17,FALSE)&gt;0.1,"Bom retorno","n/a"))</f>
        <v>Fraco retorno</v>
      </c>
      <c r="ES216" s="17" t="str">
        <f>IF(VLOOKUP(BP216,Fundamentus!A:U,16,FALSE)&lt;0.1,"Ineficiente",IF(VLOOKUP(BP216,Fundamentus!A:U,16,FALSE)&gt;0.1,"Eficiente","n/a"))</f>
        <v>Ineficiente</v>
      </c>
      <c r="ET216" s="33" t="str">
        <f>IF(VLOOKUP(BP216,Fundamentus!A:U,16,FALSE)&lt;0.1,"Oper. Ineficiente",IF(VLOOKUP(BP216,Fundamentus!A:U,16,FALSE)&gt;0.1,"Oper.Eficiente","n/a"))</f>
        <v>Oper. Ineficiente</v>
      </c>
      <c r="EU216" s="34">
        <f>VLOOKUP(BP216,Fundamentus!A:U,14,FALSE)</f>
        <v>2.5100000000000001E-2</v>
      </c>
      <c r="EV216" s="17" t="str">
        <f>IF(VLOOKUP(BP216,Fundamentus!A:U,21,FALSE)&lt;0,"Negativo",IF(VLOOKUP(BP216,Fundamentus!A:U,21,FALSE)&lt;0.05,"Fraco",IF(VLOOKUP(BP216,Fundamentus!A:U,21,FALSE)&lt;0.1,"Bom",IF(VLOOKUP(BP216,Fundamentus!A:U,21,FALSE)&gt;0.1,"Muito bom","n/a"))))</f>
        <v>Muito bom</v>
      </c>
      <c r="EX216" s="29" t="str">
        <f>IF(VLOOKUP(BP216,Fundamentus!A:U,15,FALSE)&gt;1,"Bom",IF(VLOOKUP(BP216,Fundamentus!A:U,15,FALSE)&lt;1,"Ruim","n/a"))</f>
        <v>Bom</v>
      </c>
      <c r="EY216" s="17" t="str">
        <f>IF(VLOOKUP(BP216,Fundamentus!A:U,20,FALSE)&lt;0.5,"Baixa",IF(VLOOKUP(BP216,Fundamentus!A:U,20,FALSE)&lt;1,"Moderada",IF(VLOOKUP(BP216,Fundamentus!A:U,20,FALSE)&lt;2,"Alerta",IF(VLOOKUP(BP216,Fundamentus!A:U,20,FALSE)&gt;2,"Alta","n/a"))))</f>
        <v>Alerta</v>
      </c>
    </row>
    <row r="217" spans="1:156" s="2" customFormat="1" ht="11.25" x14ac:dyDescent="0.2">
      <c r="A217" s="4">
        <v>7.48</v>
      </c>
      <c r="B217" s="4">
        <v>8.1</v>
      </c>
      <c r="C217" s="4">
        <v>8.52</v>
      </c>
      <c r="D217" s="4">
        <v>8.16</v>
      </c>
      <c r="E217" s="4">
        <v>8.1300000000000008</v>
      </c>
      <c r="F217" s="4">
        <v>7.68</v>
      </c>
      <c r="G217" s="4">
        <v>7.31</v>
      </c>
      <c r="H217" s="4">
        <v>7.5</v>
      </c>
      <c r="I217" s="4">
        <v>7.53</v>
      </c>
      <c r="J217" s="4">
        <v>9</v>
      </c>
      <c r="K217" s="4">
        <v>9.15</v>
      </c>
      <c r="L217" s="4">
        <v>8.98</v>
      </c>
      <c r="M217" s="4">
        <v>8.94</v>
      </c>
      <c r="N217" s="4">
        <v>9.01</v>
      </c>
      <c r="O217" s="4">
        <v>8.48</v>
      </c>
      <c r="P217" s="4">
        <v>8.26</v>
      </c>
      <c r="Q217" s="4">
        <v>8.23</v>
      </c>
      <c r="R217" s="4">
        <v>7.6</v>
      </c>
      <c r="S217" s="4">
        <v>7.42</v>
      </c>
      <c r="T217" s="4">
        <v>7.32</v>
      </c>
      <c r="U217" s="4">
        <v>6.57</v>
      </c>
      <c r="V217" s="4">
        <v>6.5</v>
      </c>
      <c r="W217" s="4">
        <v>5.64</v>
      </c>
      <c r="X217" s="4">
        <v>5.6</v>
      </c>
      <c r="Y217" s="4">
        <v>5.99</v>
      </c>
      <c r="Z217" s="4">
        <v>6.32</v>
      </c>
      <c r="AA217" s="4">
        <v>5.77</v>
      </c>
      <c r="AB217" s="4">
        <v>5.71</v>
      </c>
      <c r="AC217" s="4">
        <v>5.53</v>
      </c>
      <c r="AD217" s="4">
        <v>6.1</v>
      </c>
      <c r="AE217" s="4">
        <v>5.79</v>
      </c>
      <c r="AF217" s="4">
        <v>5.3</v>
      </c>
      <c r="AG217" s="4">
        <v>5.6</v>
      </c>
      <c r="AH217" s="4">
        <v>5.0199999999999996</v>
      </c>
      <c r="AI217" s="4">
        <v>4.66</v>
      </c>
      <c r="AJ217" s="4">
        <v>4.58</v>
      </c>
      <c r="AK217" s="4">
        <v>4.4400000000000004</v>
      </c>
      <c r="AL217" s="4">
        <v>4.6399999999999997</v>
      </c>
      <c r="AM217" s="4">
        <v>4.5599999999999996</v>
      </c>
      <c r="AN217" s="4">
        <v>4.84</v>
      </c>
      <c r="AO217" s="4">
        <v>4.0599999999999996</v>
      </c>
      <c r="AP217" s="4">
        <v>5</v>
      </c>
      <c r="AQ217" s="4">
        <v>4.62</v>
      </c>
      <c r="AR217" s="4">
        <v>3.81</v>
      </c>
      <c r="AS217" s="4">
        <v>3.82</v>
      </c>
      <c r="AT217" s="4">
        <v>3.95</v>
      </c>
      <c r="AU217" s="4">
        <v>4.3499999999999996</v>
      </c>
      <c r="AV217" s="4">
        <v>4.67</v>
      </c>
      <c r="AW217" s="4">
        <v>4.3600000000000003</v>
      </c>
      <c r="AX217" s="4">
        <v>4.87</v>
      </c>
      <c r="AY217" s="12">
        <v>4.99</v>
      </c>
      <c r="AZ217" s="12">
        <v>5.36</v>
      </c>
      <c r="BA217" s="12">
        <v>4.92</v>
      </c>
      <c r="BB217" s="15">
        <v>4.55</v>
      </c>
      <c r="BC217" s="52">
        <v>4.34</v>
      </c>
      <c r="BD217" s="52">
        <v>4.12</v>
      </c>
      <c r="BE217" s="52">
        <v>4.97</v>
      </c>
      <c r="BF217" s="52">
        <v>4.53</v>
      </c>
      <c r="BG217" s="67">
        <v>4.6399999999999997</v>
      </c>
      <c r="BH217" s="52">
        <v>4.4800000000000004</v>
      </c>
      <c r="BI217" s="52">
        <v>4.13</v>
      </c>
      <c r="BJ217" s="52">
        <v>3.97</v>
      </c>
      <c r="BK217" s="52">
        <v>3.91</v>
      </c>
      <c r="BL217" s="52">
        <v>3.84</v>
      </c>
      <c r="BM217" s="52">
        <v>4</v>
      </c>
      <c r="BN217" s="52">
        <v>3.89</v>
      </c>
      <c r="BO217" s="52" cm="1">
        <f t="array" aca="1" ref="BO217" ca="1">_FV(EC217,"Preço")</f>
        <v>3.89</v>
      </c>
      <c r="BP217" s="69" t="s">
        <v>213</v>
      </c>
      <c r="BQ217" s="36" cm="1">
        <f t="array" aca="1" ref="BQ217" ca="1">_FV(EC217,"Média de volume",TRUE)</f>
        <v>11362190</v>
      </c>
      <c r="BR217" s="36">
        <v>13864000</v>
      </c>
      <c r="BS217" s="36" cm="1">
        <f t="array" aca="1" ref="BS217" ca="1">_FV(EC217,"Volume")</f>
        <v>13864000</v>
      </c>
      <c r="BT217" s="24" cm="1">
        <f t="array" aca="1" ref="BT217" ca="1">_FV(EC217,"Beta")</f>
        <v>1.2757000000000001</v>
      </c>
      <c r="BU217" s="71" cm="1">
        <f t="array" aca="1" ref="BU217" ca="1">_FV(EC217,"Variação (%)",TRUE)</f>
        <v>1.3021E-2</v>
      </c>
      <c r="BW217" s="17" cm="1">
        <f t="array" aca="1" ref="BW217" ca="1">_FV(EC217,"Baixo")</f>
        <v>3.89</v>
      </c>
      <c r="BX217" s="17" cm="1">
        <f t="array" aca="1" ref="BX217" ca="1">_FV(EC217,"Alto")</f>
        <v>4.04</v>
      </c>
      <c r="BY217" s="24"/>
      <c r="BZ217" s="63">
        <f ca="1">SQRT(22.5*(BO217/VLOOKUP(BP217,Fundamentus!A:U,3,FALSE))*(BO217/VLOOKUP(BP217,Fundamentus!A:U,4,FALSE)))</f>
        <v>3.8277728613384214</v>
      </c>
      <c r="CB217" s="62">
        <f t="shared" ca="1" si="241"/>
        <v>0</v>
      </c>
      <c r="CC217" s="8"/>
      <c r="CD217" s="61">
        <f t="shared" si="242"/>
        <v>3.81</v>
      </c>
      <c r="CE217" s="61">
        <f t="shared" si="243"/>
        <v>9.15</v>
      </c>
      <c r="CF217" s="61">
        <f t="shared" si="244"/>
        <v>5.8501515151515164</v>
      </c>
      <c r="CG217" s="14"/>
      <c r="CH217" s="35">
        <f t="shared" si="227"/>
        <v>3.8208772590585052</v>
      </c>
      <c r="CI217" s="15">
        <f t="shared" si="245"/>
        <v>3.9350000000000023</v>
      </c>
      <c r="CJ217" s="35">
        <f t="shared" si="228"/>
        <v>4.0491227409414989</v>
      </c>
      <c r="CL217" s="14"/>
      <c r="CM217" s="17">
        <f t="shared" si="229"/>
        <v>-3.2566666666666664</v>
      </c>
      <c r="CN217" s="17">
        <f t="shared" si="230"/>
        <v>0.27666666666666728</v>
      </c>
      <c r="CO217" s="17">
        <f t="shared" si="231"/>
        <v>2.0833333333333339</v>
      </c>
      <c r="CP217" s="38">
        <f t="shared" si="246"/>
        <v>5.6166666666666671</v>
      </c>
      <c r="CQ217" s="17">
        <f t="shared" si="232"/>
        <v>7.4233333333333338</v>
      </c>
      <c r="CR217" s="17">
        <f t="shared" si="233"/>
        <v>10.956666666666667</v>
      </c>
      <c r="CS217" s="17">
        <f t="shared" si="234"/>
        <v>12.763333333333335</v>
      </c>
      <c r="CT217" s="2" cm="1">
        <f t="array" aca="1" ref="CT217" ca="1">MAX(_xlfn._xlws.FILTER(CM217:CS217,CM217:CS217&lt;BO217))</f>
        <v>2.0833333333333339</v>
      </c>
      <c r="CU217" s="2" cm="1">
        <f t="array" aca="1" ref="CU217" ca="1">MIN(_xlfn._xlws.FILTER($CM217:$CS217,$CM217:$CS217&gt;BO217))</f>
        <v>5.6166666666666671</v>
      </c>
      <c r="CV217" s="16">
        <f t="shared" ca="1" si="248"/>
        <v>1.6959999999999993</v>
      </c>
      <c r="CW217" s="20">
        <f t="shared" ca="1" si="249"/>
        <v>-0.84799999999999964</v>
      </c>
      <c r="CX217" s="20">
        <f t="shared" ca="1" si="250"/>
        <v>-0.56533333333333313</v>
      </c>
      <c r="CY217" s="20">
        <f t="shared" ca="1" si="251"/>
        <v>-0.33919999999999983</v>
      </c>
      <c r="CZ217" s="20">
        <f t="shared" ca="1" si="252"/>
        <v>-0.18844444444444436</v>
      </c>
      <c r="DA217" s="20">
        <f t="shared" ca="1" si="253"/>
        <v>-9.9764705882352894E-2</v>
      </c>
      <c r="DB217" s="20">
        <f t="shared" ca="1" si="254"/>
        <v>-5.1393939393939374E-2</v>
      </c>
      <c r="DC217" s="20">
        <f t="shared" ca="1" si="255"/>
        <v>-2.6092307692307682E-2</v>
      </c>
      <c r="DD217" s="21">
        <f t="shared" ca="1" si="256"/>
        <v>2.6092307692307682E-2</v>
      </c>
      <c r="DE217" s="21">
        <f t="shared" ca="1" si="257"/>
        <v>5.1393939393939374E-2</v>
      </c>
      <c r="DF217" s="21">
        <f t="shared" ca="1" si="258"/>
        <v>9.9764705882352894E-2</v>
      </c>
      <c r="DG217" s="21">
        <f t="shared" ca="1" si="259"/>
        <v>0.18844444444444436</v>
      </c>
      <c r="DH217" s="21">
        <f t="shared" ca="1" si="260"/>
        <v>0.33919999999999983</v>
      </c>
      <c r="DI217" s="21">
        <f t="shared" ca="1" si="261"/>
        <v>0.56533333333333313</v>
      </c>
      <c r="DJ217" s="21">
        <f t="shared" ca="1" si="262"/>
        <v>0.84799999999999964</v>
      </c>
      <c r="DL217" s="16" cm="1">
        <f t="array" aca="1" ref="DL217" ca="1">MAX(_xlfn._xlws.FILTER(CW217:DJ217,CW217:DJ217&lt;BU217))</f>
        <v>-2.6092307692307682E-2</v>
      </c>
      <c r="DM217" s="16" cm="1">
        <f t="array" aca="1" ref="DM217" ca="1">MIN(_xlfn._xlws.FILTER(CW217:DJ217,CW217:DJ217&gt;BU217))</f>
        <v>2.6092307692307682E-2</v>
      </c>
      <c r="DN217" s="2" cm="1">
        <f t="array" aca="1" ref="DN217" ca="1">_FV(EC217,"Fechamento anterior",TRUE)</f>
        <v>3.84</v>
      </c>
      <c r="DO217" s="28">
        <f t="shared" ca="1" si="235"/>
        <v>0.74951478970125973</v>
      </c>
      <c r="DP217" s="15">
        <f t="shared" ca="1" si="263"/>
        <v>3.7398055384615385</v>
      </c>
      <c r="DQ217" s="15">
        <f t="shared" ca="1" si="264"/>
        <v>3.9401944615384612</v>
      </c>
      <c r="DR217" s="9"/>
      <c r="DS217" s="9"/>
      <c r="DT217" s="9"/>
      <c r="DU217" s="89">
        <v>5.3283302063789846E-2</v>
      </c>
      <c r="DV217" s="89">
        <f t="shared" ca="1" si="236"/>
        <v>5.2184615384615364E-2</v>
      </c>
      <c r="DW217" s="72">
        <f t="shared" ca="1" si="237"/>
        <v>-0.39431229594345757</v>
      </c>
      <c r="DX217" s="37"/>
      <c r="DY217" s="35">
        <f t="shared" si="247"/>
        <v>5.7061370470748475E-2</v>
      </c>
      <c r="DZ217" s="56"/>
      <c r="EA217" s="56"/>
      <c r="EC217" s="2" t="e" vm="219">
        <v>#VALUE!</v>
      </c>
      <c r="EE217" s="10" cm="1">
        <f t="array" aca="1" ref="EE217" ca="1">_FV(EC217,"Ações em circulação",TRUE)</f>
        <v>1081033000</v>
      </c>
      <c r="EF217" s="18">
        <f>VLOOKUP(BP217,Fundamentus!A:U,5,FALSE)</f>
        <v>0.97699999999999998</v>
      </c>
      <c r="EG217" s="2">
        <f t="shared" ca="1" si="238"/>
        <v>4304215322.4155579</v>
      </c>
      <c r="EH217" s="17">
        <v>305599287.89150459</v>
      </c>
      <c r="EI217" s="17">
        <f t="shared" ca="1" si="239"/>
        <v>305599287.89150459</v>
      </c>
      <c r="EK217" s="16">
        <f t="shared" ca="1" si="226"/>
        <v>0</v>
      </c>
      <c r="EL217" s="32" t="str">
        <f>IF(VLOOKUP(BP217,Fundamentus!A:U,3,FALSE)&lt;15,"Bom",IF(VLOOKUP(BP217,Fundamentus!A:U,3,FALSE)&gt;15,"Ruim","n/a"))</f>
        <v>Bom</v>
      </c>
      <c r="EM217" s="28" t="str">
        <f>IF(VLOOKUP(BP217,Fundamentus!A:U,4,FALSE)&lt;1,"Baixo",IF(VLOOKUP(BP217,Fundamentus!A:U,4,FALSE)&lt;1.5,"Moderado",IF(VLOOKUP(BP217,Fundamentus!A:U,4,FALSE)&gt;1.5,"Alto","n/a")))</f>
        <v>Alto</v>
      </c>
      <c r="EN217" s="17" t="str">
        <f>IF(VLOOKUP(BP217,Fundamentus!A:U,8,FALSE)&lt;0,"Risco elevado",IF(VLOOKUP(BP217,Fundamentus!A:U,8,FALSE)&lt;1,"Saudável",IF(VLOOKUP(BP217,Fundamentus!A:U,8,FALSE)&lt;3,"Estável",IF(VLOOKUP(BP217,Fundamentus!A:U,8,FALSE)&gt;3,"Alerta","n/a"))))</f>
        <v>Estável</v>
      </c>
      <c r="EO217" s="28" t="str">
        <f t="shared" si="240"/>
        <v>Ruim</v>
      </c>
      <c r="EP217" s="17" t="str">
        <f>IF(VLOOKUP(BP217,Fundamentus!A:U,12,FALSE)&lt;2,"Subvalorizada",IF(VLOOKUP(BP217,Fundamentus!A:U,12,FALSE)&lt;6,"Muita barata",IF(VLOOKUP(BP217,Fundamentus!A:U,12,FALSE)&lt;6,"Barata",IF(VLOOKUP(BP217,Fundamentus!A:U,12,FALSE)&lt;8,"Atrativa",IF(VLOOKUP(BP217,Fundamentus!A:U,12,FALSE)&gt;8,"Supervalorizada","n/a")))))</f>
        <v>Muita barata</v>
      </c>
      <c r="ER217" s="17" t="str">
        <f>IF(VLOOKUP(BP217,Fundamentus!A:U,17,FALSE)&lt;0.1,"Fraco retorno",IF(VLOOKUP(BP217,Fundamentus!A:U,17,FALSE)&gt;0.1,"Bom retorno","n/a"))</f>
        <v>Bom retorno</v>
      </c>
      <c r="ES217" s="17" t="str">
        <f>IF(VLOOKUP(BP217,Fundamentus!A:U,16,FALSE)&lt;0.1,"Ineficiente",IF(VLOOKUP(BP217,Fundamentus!A:U,16,FALSE)&gt;0.1,"Eficiente","n/a"))</f>
        <v>Eficiente</v>
      </c>
      <c r="ET217" s="33" t="str">
        <f>IF(VLOOKUP(BP217,Fundamentus!A:U,16,FALSE)&lt;0.1,"Oper. Ineficiente",IF(VLOOKUP(BP217,Fundamentus!A:U,16,FALSE)&gt;0.1,"Oper.Eficiente","n/a"))</f>
        <v>Oper.Eficiente</v>
      </c>
      <c r="EU217" s="34">
        <f>VLOOKUP(BP217,Fundamentus!A:U,14,FALSE)</f>
        <v>7.0999999999999994E-2</v>
      </c>
      <c r="EV217" s="17" t="str">
        <f>IF(VLOOKUP(BP217,Fundamentus!A:U,21,FALSE)&lt;0,"Negativo",IF(VLOOKUP(BP217,Fundamentus!A:U,21,FALSE)&lt;0.05,"Fraco",IF(VLOOKUP(BP217,Fundamentus!A:U,21,FALSE)&lt;0.1,"Bom",IF(VLOOKUP(BP217,Fundamentus!A:U,21,FALSE)&gt;0.1,"Muito bom","n/a"))))</f>
        <v>Muito bom</v>
      </c>
      <c r="EX217" s="29" t="str">
        <f>IF(VLOOKUP(BP217,Fundamentus!A:U,15,FALSE)&gt;1,"Bom",IF(VLOOKUP(BP217,Fundamentus!A:U,15,FALSE)&lt;1,"Ruim","n/a"))</f>
        <v>Bom</v>
      </c>
      <c r="EY217" s="17" t="str">
        <f>IF(VLOOKUP(BP217,Fundamentus!A:U,20,FALSE)&lt;0.5,"Baixa",IF(VLOOKUP(BP217,Fundamentus!A:U,20,FALSE)&lt;1,"Moderada",IF(VLOOKUP(BP217,Fundamentus!A:U,20,FALSE)&lt;2,"Alerta",IF(VLOOKUP(BP217,Fundamentus!A:U,20,FALSE)&gt;2,"Alta","n/a"))))</f>
        <v>Alta</v>
      </c>
    </row>
    <row r="218" spans="1:156" s="2" customFormat="1" ht="11.25" x14ac:dyDescent="0.2">
      <c r="A218" s="4">
        <v>4.3600000000000003</v>
      </c>
      <c r="B218" s="4">
        <v>4.2</v>
      </c>
      <c r="C218" s="4">
        <v>4.1399999999999997</v>
      </c>
      <c r="D218" s="4">
        <v>4.07</v>
      </c>
      <c r="E218" s="4">
        <v>4</v>
      </c>
      <c r="F218" s="4">
        <v>3.87</v>
      </c>
      <c r="G218" s="4">
        <v>3.75</v>
      </c>
      <c r="H218" s="4">
        <v>3.85</v>
      </c>
      <c r="I218" s="4">
        <v>3.95</v>
      </c>
      <c r="J218" s="4">
        <v>4.26</v>
      </c>
      <c r="K218" s="4">
        <v>4.3099999999999996</v>
      </c>
      <c r="L218" s="4">
        <v>4.0199999999999996</v>
      </c>
      <c r="M218" s="4">
        <v>4</v>
      </c>
      <c r="N218" s="4">
        <v>4.01</v>
      </c>
      <c r="O218" s="4">
        <v>4.17</v>
      </c>
      <c r="P218" s="4">
        <v>4.29</v>
      </c>
      <c r="Q218" s="4">
        <v>4.46</v>
      </c>
      <c r="R218" s="4">
        <v>4.37</v>
      </c>
      <c r="S218" s="4">
        <v>4.49</v>
      </c>
      <c r="T218" s="4">
        <v>4.54</v>
      </c>
      <c r="U218" s="4">
        <v>4.18</v>
      </c>
      <c r="V218" s="4">
        <v>4.0999999999999996</v>
      </c>
      <c r="W218" s="4">
        <v>4.3099999999999996</v>
      </c>
      <c r="X218" s="4">
        <v>4.2300000000000004</v>
      </c>
      <c r="Y218" s="4">
        <v>4.4800000000000004</v>
      </c>
      <c r="Z218" s="4">
        <v>4.4000000000000004</v>
      </c>
      <c r="AA218" s="4">
        <v>4.3099999999999996</v>
      </c>
      <c r="AB218" s="4">
        <v>4.5</v>
      </c>
      <c r="AC218" s="4">
        <v>4.45</v>
      </c>
      <c r="AD218" s="4">
        <v>4.49</v>
      </c>
      <c r="AE218" s="4">
        <v>4.34</v>
      </c>
      <c r="AF218" s="4">
        <v>4.04</v>
      </c>
      <c r="AG218" s="4">
        <v>3.91</v>
      </c>
      <c r="AH218" s="4">
        <v>3.78</v>
      </c>
      <c r="AI218" s="4">
        <v>3.74</v>
      </c>
      <c r="AJ218" s="4">
        <v>3.66</v>
      </c>
      <c r="AK218" s="4">
        <v>3.65</v>
      </c>
      <c r="AL218" s="4">
        <v>3.66</v>
      </c>
      <c r="AM218" s="4">
        <v>3.69</v>
      </c>
      <c r="AN218" s="4">
        <v>3.96</v>
      </c>
      <c r="AO218" s="4">
        <v>3.87</v>
      </c>
      <c r="AP218" s="4">
        <v>4.01</v>
      </c>
      <c r="AQ218" s="4">
        <v>3.84</v>
      </c>
      <c r="AR218" s="4">
        <v>3.56</v>
      </c>
      <c r="AS218" s="4">
        <v>3.78</v>
      </c>
      <c r="AT218" s="4">
        <v>3.89</v>
      </c>
      <c r="AU218" s="4">
        <v>3.9249999999999998</v>
      </c>
      <c r="AV218" s="4">
        <v>4.13</v>
      </c>
      <c r="AW218" s="4">
        <v>4.0999999999999996</v>
      </c>
      <c r="AX218" s="4">
        <v>4.1900000000000004</v>
      </c>
      <c r="AY218" s="12">
        <v>4.55</v>
      </c>
      <c r="AZ218" s="12">
        <v>5.0599999999999996</v>
      </c>
      <c r="BA218" s="12">
        <v>5.13</v>
      </c>
      <c r="BB218" s="15">
        <v>5.0999999999999996</v>
      </c>
      <c r="BC218" s="52">
        <v>5.17</v>
      </c>
      <c r="BD218" s="52">
        <v>5.0599999999999996</v>
      </c>
      <c r="BE218" s="52">
        <v>5.35</v>
      </c>
      <c r="BF218" s="52">
        <v>5.24</v>
      </c>
      <c r="BG218" s="67">
        <v>5.23</v>
      </c>
      <c r="BH218" s="52">
        <v>5.26</v>
      </c>
      <c r="BI218" s="52">
        <v>5.25</v>
      </c>
      <c r="BJ218" s="52">
        <v>5.3</v>
      </c>
      <c r="BK218" s="52">
        <v>5.23</v>
      </c>
      <c r="BL218" s="52">
        <v>5.04</v>
      </c>
      <c r="BM218" s="52">
        <v>5.12</v>
      </c>
      <c r="BN218" s="52">
        <v>5.16</v>
      </c>
      <c r="BO218" s="52" cm="1">
        <f t="array" aca="1" ref="BO218" ca="1">_FV(EC218,"Preço")</f>
        <v>5.16</v>
      </c>
      <c r="BP218" s="69" t="s">
        <v>214</v>
      </c>
      <c r="BQ218" s="36" cm="1">
        <f t="array" aca="1" ref="BQ218" ca="1">_FV(EC218,"Média de volume",TRUE)</f>
        <v>2222810</v>
      </c>
      <c r="BR218" s="36">
        <v>1826900</v>
      </c>
      <c r="BS218" s="36" cm="1">
        <f t="array" aca="1" ref="BS218" ca="1">_FV(EC218,"Volume")</f>
        <v>1826900</v>
      </c>
      <c r="BT218" s="24" cm="1">
        <f t="array" aca="1" ref="BT218" ca="1">_FV(EC218,"Beta")</f>
        <v>1.5044</v>
      </c>
      <c r="BU218" s="71" cm="1">
        <f t="array" aca="1" ref="BU218" ca="1">_FV(EC218,"Variação (%)",TRUE)</f>
        <v>7.8130000000000005E-3</v>
      </c>
      <c r="BW218" s="17" cm="1">
        <f t="array" aca="1" ref="BW218" ca="1">_FV(EC218,"Baixo")</f>
        <v>5.08</v>
      </c>
      <c r="BX218" s="17" cm="1">
        <f t="array" aca="1" ref="BX218" ca="1">_FV(EC218,"Alto")</f>
        <v>5.24</v>
      </c>
      <c r="BY218" s="24"/>
      <c r="BZ218" s="63">
        <f ca="1">SQRT(22.5*(BO218/VLOOKUP(BP218,Fundamentus!A:U,3,FALSE))*(BO218/VLOOKUP(BP218,Fundamentus!A:U,4,FALSE)))</f>
        <v>17.059884010178106</v>
      </c>
      <c r="CB218" s="62">
        <f t="shared" ca="1" si="241"/>
        <v>0</v>
      </c>
      <c r="CC218" s="8"/>
      <c r="CD218" s="61">
        <f t="shared" si="242"/>
        <v>3.56</v>
      </c>
      <c r="CE218" s="61">
        <f t="shared" si="243"/>
        <v>5.35</v>
      </c>
      <c r="CF218" s="61">
        <f t="shared" si="244"/>
        <v>4.3414393939393943</v>
      </c>
      <c r="CG218" s="14"/>
      <c r="CH218" s="35">
        <f t="shared" si="227"/>
        <v>4.9261145618000208</v>
      </c>
      <c r="CI218" s="15">
        <f t="shared" si="245"/>
        <v>5.105000000000004</v>
      </c>
      <c r="CJ218" s="35">
        <f t="shared" si="228"/>
        <v>5.2838854381999871</v>
      </c>
      <c r="CL218" s="14"/>
      <c r="CM218" s="17">
        <f t="shared" si="229"/>
        <v>2.2400000000000015</v>
      </c>
      <c r="CN218" s="17">
        <f t="shared" si="230"/>
        <v>2.9000000000000008</v>
      </c>
      <c r="CO218" s="17">
        <f t="shared" si="231"/>
        <v>4.0300000000000011</v>
      </c>
      <c r="CP218" s="38">
        <f t="shared" si="246"/>
        <v>4.6900000000000004</v>
      </c>
      <c r="CQ218" s="17">
        <f t="shared" si="232"/>
        <v>5.82</v>
      </c>
      <c r="CR218" s="17">
        <f t="shared" si="233"/>
        <v>6.48</v>
      </c>
      <c r="CS218" s="17">
        <f t="shared" si="234"/>
        <v>7.61</v>
      </c>
      <c r="CT218" s="2" cm="1">
        <f t="array" aca="1" ref="CT218" ca="1">MAX(_xlfn._xlws.FILTER(CM218:CS218,CM218:CS218&lt;BO218))</f>
        <v>4.6900000000000004</v>
      </c>
      <c r="CU218" s="2" cm="1">
        <f t="array" aca="1" ref="CU218" ca="1">MIN(_xlfn._xlws.FILTER($CM218:$CS218,$CM218:$CS218&gt;BO218))</f>
        <v>5.82</v>
      </c>
      <c r="CV218" s="16">
        <f t="shared" ca="1" si="248"/>
        <v>0.24093816631130061</v>
      </c>
      <c r="CW218" s="20">
        <f t="shared" ca="1" si="249"/>
        <v>-0.1204690831556503</v>
      </c>
      <c r="CX218" s="20">
        <f t="shared" ca="1" si="250"/>
        <v>-8.0312722103766873E-2</v>
      </c>
      <c r="CY218" s="20">
        <f t="shared" ca="1" si="251"/>
        <v>-4.8187633262260124E-2</v>
      </c>
      <c r="CZ218" s="20">
        <f t="shared" ca="1" si="252"/>
        <v>-2.677090736792229E-2</v>
      </c>
      <c r="DA218" s="20">
        <f t="shared" ca="1" si="253"/>
        <v>-1.4172833312429448E-2</v>
      </c>
      <c r="DB218" s="20">
        <f t="shared" ca="1" si="254"/>
        <v>-7.3011565548878974E-3</v>
      </c>
      <c r="DC218" s="20">
        <f t="shared" ca="1" si="255"/>
        <v>-3.7067410201738556E-3</v>
      </c>
      <c r="DD218" s="21">
        <f t="shared" ca="1" si="256"/>
        <v>3.7067410201738556E-3</v>
      </c>
      <c r="DE218" s="21">
        <f t="shared" ca="1" si="257"/>
        <v>7.3011565548878974E-3</v>
      </c>
      <c r="DF218" s="21">
        <f t="shared" ca="1" si="258"/>
        <v>1.4172833312429448E-2</v>
      </c>
      <c r="DG218" s="21">
        <f t="shared" ca="1" si="259"/>
        <v>2.677090736792229E-2</v>
      </c>
      <c r="DH218" s="21">
        <f t="shared" ca="1" si="260"/>
        <v>4.8187633262260124E-2</v>
      </c>
      <c r="DI218" s="21">
        <f t="shared" ca="1" si="261"/>
        <v>8.0312722103766873E-2</v>
      </c>
      <c r="DJ218" s="21">
        <f t="shared" ca="1" si="262"/>
        <v>0.1204690831556503</v>
      </c>
      <c r="DL218" s="16" cm="1">
        <f t="array" aca="1" ref="DL218" ca="1">MAX(_xlfn._xlws.FILTER(CW218:DJ218,CW218:DJ218&lt;BU218))</f>
        <v>7.3011565548878974E-3</v>
      </c>
      <c r="DM218" s="16" cm="1">
        <f t="array" aca="1" ref="DM218" ca="1">MIN(_xlfn._xlws.FILTER(CW218:DJ218,CW218:DJ218&gt;BU218))</f>
        <v>1.4172833312429448E-2</v>
      </c>
      <c r="DN218" s="2" cm="1">
        <f t="array" aca="1" ref="DN218" ca="1">_FV(EC218,"Fechamento anterior",TRUE)</f>
        <v>5.12</v>
      </c>
      <c r="DO218" s="28">
        <f t="shared" ca="1" si="235"/>
        <v>7.4413198285410834E-2</v>
      </c>
      <c r="DP218" s="15">
        <f t="shared" ca="1" si="263"/>
        <v>5.1573819215610257</v>
      </c>
      <c r="DQ218" s="15">
        <f t="shared" ca="1" si="264"/>
        <v>5.1925649065596389</v>
      </c>
      <c r="DR218" s="9"/>
      <c r="DS218" s="9"/>
      <c r="DT218" s="9"/>
      <c r="DU218" s="89">
        <v>6.6854503287140793E-3</v>
      </c>
      <c r="DV218" s="89">
        <f t="shared" ca="1" si="236"/>
        <v>6.8716767575415505E-3</v>
      </c>
      <c r="DW218" s="72">
        <f t="shared" ca="1" si="237"/>
        <v>0.30745934690619969</v>
      </c>
      <c r="DX218" s="37"/>
      <c r="DY218" s="35">
        <f t="shared" si="247"/>
        <v>8.9442719099991574E-2</v>
      </c>
      <c r="DZ218" s="56"/>
      <c r="EA218" s="56"/>
      <c r="EC218" s="2" t="e" vm="220">
        <v>#VALUE!</v>
      </c>
      <c r="EE218" s="10" cm="1">
        <f t="array" aca="1" ref="EE218" ca="1">_FV(EC218,"Ações em circulação",TRUE)</f>
        <v>681322800</v>
      </c>
      <c r="EF218" s="18">
        <f>VLOOKUP(BP218,Fundamentus!A:U,5,FALSE)</f>
        <v>2.0630000000000002</v>
      </c>
      <c r="EG218" s="2">
        <f t="shared" ca="1" si="238"/>
        <v>1704132645.6616576</v>
      </c>
      <c r="EH218" s="17">
        <v>1050086536.2567134</v>
      </c>
      <c r="EI218" s="17">
        <f t="shared" ca="1" si="239"/>
        <v>1050086536.2567134</v>
      </c>
      <c r="EK218" s="16">
        <f t="shared" ca="1" si="226"/>
        <v>0</v>
      </c>
      <c r="EL218" s="32" t="str">
        <f>IF(VLOOKUP(BP218,Fundamentus!A:U,3,FALSE)&lt;15,"Bom",IF(VLOOKUP(BP218,Fundamentus!A:U,3,FALSE)&gt;15,"Ruim","n/a"))</f>
        <v>Bom</v>
      </c>
      <c r="EM218" s="28" t="str">
        <f>IF(VLOOKUP(BP218,Fundamentus!A:U,4,FALSE)&lt;1,"Baixo",IF(VLOOKUP(BP218,Fundamentus!A:U,4,FALSE)&lt;1.5,"Moderado",IF(VLOOKUP(BP218,Fundamentus!A:U,4,FALSE)&gt;1.5,"Alto","n/a")))</f>
        <v>Baixo</v>
      </c>
      <c r="EN218" s="17" t="str">
        <f>IF(VLOOKUP(BP218,Fundamentus!A:U,8,FALSE)&lt;0,"Risco elevado",IF(VLOOKUP(BP218,Fundamentus!A:U,8,FALSE)&lt;1,"Saudável",IF(VLOOKUP(BP218,Fundamentus!A:U,8,FALSE)&lt;3,"Estável",IF(VLOOKUP(BP218,Fundamentus!A:U,8,FALSE)&gt;3,"Alerta","n/a"))))</f>
        <v>Estável</v>
      </c>
      <c r="EO218" s="28" t="str">
        <f t="shared" si="240"/>
        <v>Bom</v>
      </c>
      <c r="EP218" s="17" t="str">
        <f>IF(VLOOKUP(BP218,Fundamentus!A:U,12,FALSE)&lt;2,"Subvalorizada",IF(VLOOKUP(BP218,Fundamentus!A:U,12,FALSE)&lt;6,"Muita barata",IF(VLOOKUP(BP218,Fundamentus!A:U,12,FALSE)&lt;6,"Barata",IF(VLOOKUP(BP218,Fundamentus!A:U,12,FALSE)&lt;8,"Atrativa",IF(VLOOKUP(BP218,Fundamentus!A:U,12,FALSE)&gt;8,"Supervalorizada","n/a")))))</f>
        <v>Supervalorizada</v>
      </c>
      <c r="ER218" s="17" t="str">
        <f>IF(VLOOKUP(BP218,Fundamentus!A:U,17,FALSE)&lt;0.1,"Fraco retorno",IF(VLOOKUP(BP218,Fundamentus!A:U,17,FALSE)&gt;0.1,"Bom retorno","n/a"))</f>
        <v>Bom retorno</v>
      </c>
      <c r="ES218" s="17" t="str">
        <f>IF(VLOOKUP(BP218,Fundamentus!A:U,16,FALSE)&lt;0.1,"Ineficiente",IF(VLOOKUP(BP218,Fundamentus!A:U,16,FALSE)&gt;0.1,"Eficiente","n/a"))</f>
        <v>Ineficiente</v>
      </c>
      <c r="ET218" s="33" t="str">
        <f>IF(VLOOKUP(BP218,Fundamentus!A:U,16,FALSE)&lt;0.1,"Oper. Ineficiente",IF(VLOOKUP(BP218,Fundamentus!A:U,16,FALSE)&gt;0.1,"Oper.Eficiente","n/a"))</f>
        <v>Oper. Ineficiente</v>
      </c>
      <c r="EU218" s="34">
        <f>VLOOKUP(BP218,Fundamentus!A:U,14,FALSE)</f>
        <v>0.61619999999999997</v>
      </c>
      <c r="EV218" s="17" t="str">
        <f>IF(VLOOKUP(BP218,Fundamentus!A:U,21,FALSE)&lt;0,"Negativo",IF(VLOOKUP(BP218,Fundamentus!A:U,21,FALSE)&lt;0.05,"Fraco",IF(VLOOKUP(BP218,Fundamentus!A:U,21,FALSE)&lt;0.1,"Bom",IF(VLOOKUP(BP218,Fundamentus!A:U,21,FALSE)&gt;0.1,"Muito bom","n/a"))))</f>
        <v>Fraco</v>
      </c>
      <c r="EX218" s="29" t="str">
        <f>IF(VLOOKUP(BP218,Fundamentus!A:U,15,FALSE)&gt;1,"Bom",IF(VLOOKUP(BP218,Fundamentus!A:U,15,FALSE)&lt;1,"Ruim","n/a"))</f>
        <v>Bom</v>
      </c>
      <c r="EY218" s="17" t="str">
        <f>IF(VLOOKUP(BP218,Fundamentus!A:U,20,FALSE)&lt;0.5,"Baixa",IF(VLOOKUP(BP218,Fundamentus!A:U,20,FALSE)&lt;1,"Moderada",IF(VLOOKUP(BP218,Fundamentus!A:U,20,FALSE)&lt;2,"Alerta",IF(VLOOKUP(BP218,Fundamentus!A:U,20,FALSE)&gt;2,"Alta","n/a"))))</f>
        <v>Moderada</v>
      </c>
    </row>
    <row r="219" spans="1:156" s="2" customFormat="1" ht="11.25" x14ac:dyDescent="0.2">
      <c r="A219" s="4">
        <v>6.05</v>
      </c>
      <c r="B219" s="4">
        <v>6.23</v>
      </c>
      <c r="C219" s="4">
        <v>6.42</v>
      </c>
      <c r="D219" s="4">
        <v>6.14</v>
      </c>
      <c r="E219" s="4">
        <v>6.03</v>
      </c>
      <c r="F219" s="4">
        <v>5.8</v>
      </c>
      <c r="G219" s="4">
        <v>5.39</v>
      </c>
      <c r="H219" s="4">
        <v>5.49</v>
      </c>
      <c r="I219" s="4">
        <v>5.34</v>
      </c>
      <c r="J219" s="4">
        <v>6.88</v>
      </c>
      <c r="K219" s="4">
        <v>6.77</v>
      </c>
      <c r="L219" s="4">
        <v>6.37</v>
      </c>
      <c r="M219" s="4">
        <v>6.39</v>
      </c>
      <c r="N219" s="4">
        <v>6.54</v>
      </c>
      <c r="O219" s="4">
        <v>6.66</v>
      </c>
      <c r="P219" s="4">
        <v>6.5</v>
      </c>
      <c r="Q219" s="4">
        <v>6.93</v>
      </c>
      <c r="R219" s="4">
        <v>6.17</v>
      </c>
      <c r="S219" s="4">
        <v>5.94</v>
      </c>
      <c r="T219" s="4">
        <v>5.96</v>
      </c>
      <c r="U219" s="4">
        <v>5.31</v>
      </c>
      <c r="V219" s="4">
        <v>5.26</v>
      </c>
      <c r="W219" s="4">
        <v>5.24</v>
      </c>
      <c r="X219" s="4">
        <v>4.99</v>
      </c>
      <c r="Y219" s="4">
        <v>5.05</v>
      </c>
      <c r="Z219" s="4">
        <v>5.3</v>
      </c>
      <c r="AA219" s="4">
        <v>4.9800000000000004</v>
      </c>
      <c r="AB219" s="4">
        <v>5.15</v>
      </c>
      <c r="AC219" s="4">
        <v>5.05</v>
      </c>
      <c r="AD219" s="4">
        <v>5.45</v>
      </c>
      <c r="AE219" s="4">
        <v>4.62</v>
      </c>
      <c r="AF219" s="4">
        <v>4.0199999999999996</v>
      </c>
      <c r="AG219" s="4">
        <v>3.71</v>
      </c>
      <c r="AH219" s="4">
        <v>3.59</v>
      </c>
      <c r="AI219" s="4">
        <v>3.52</v>
      </c>
      <c r="AJ219" s="4">
        <v>3.41</v>
      </c>
      <c r="AK219" s="4">
        <v>3.36</v>
      </c>
      <c r="AL219" s="4">
        <v>3.3</v>
      </c>
      <c r="AM219" s="4">
        <v>3.25</v>
      </c>
      <c r="AN219" s="4">
        <v>3.61</v>
      </c>
      <c r="AO219" s="4">
        <v>3.26</v>
      </c>
      <c r="AP219" s="4">
        <v>3.96</v>
      </c>
      <c r="AQ219" s="4">
        <v>3.6</v>
      </c>
      <c r="AR219" s="4">
        <v>3.12</v>
      </c>
      <c r="AS219" s="4">
        <v>3.28</v>
      </c>
      <c r="AT219" s="4">
        <v>3.65</v>
      </c>
      <c r="AU219" s="4">
        <v>4.1449999999999996</v>
      </c>
      <c r="AV219" s="4">
        <v>4.37</v>
      </c>
      <c r="AW219" s="4">
        <v>4.37</v>
      </c>
      <c r="AX219" s="4">
        <v>4.6900000000000004</v>
      </c>
      <c r="AY219" s="12">
        <v>4.9800000000000004</v>
      </c>
      <c r="AZ219" s="12">
        <v>5.65</v>
      </c>
      <c r="BA219" s="12">
        <v>5.36</v>
      </c>
      <c r="BB219" s="15">
        <v>5.09</v>
      </c>
      <c r="BC219" s="52">
        <v>4.83</v>
      </c>
      <c r="BD219" s="52">
        <v>4.7</v>
      </c>
      <c r="BE219" s="52">
        <v>5.33</v>
      </c>
      <c r="BF219" s="52">
        <v>5.09</v>
      </c>
      <c r="BG219" s="67">
        <v>5.52</v>
      </c>
      <c r="BH219" s="52">
        <v>5.49</v>
      </c>
      <c r="BI219" s="52">
        <v>5.03</v>
      </c>
      <c r="BJ219" s="52">
        <v>4.82</v>
      </c>
      <c r="BK219" s="52">
        <v>4.4400000000000004</v>
      </c>
      <c r="BL219" s="52">
        <v>4.25</v>
      </c>
      <c r="BM219" s="52">
        <v>4.3899999999999997</v>
      </c>
      <c r="BN219" s="52">
        <v>4.3</v>
      </c>
      <c r="BO219" s="52" cm="1">
        <f t="array" aca="1" ref="BO219" ca="1">_FV(EC219,"Preço")</f>
        <v>4.3</v>
      </c>
      <c r="BP219" s="69" t="s">
        <v>215</v>
      </c>
      <c r="BQ219" s="36" cm="1">
        <f t="array" aca="1" ref="BQ219" ca="1">_FV(EC219,"Média de volume",TRUE)</f>
        <v>3565380</v>
      </c>
      <c r="BR219" s="36">
        <v>4596200</v>
      </c>
      <c r="BS219" s="36" cm="1">
        <f t="array" aca="1" ref="BS219" ca="1">_FV(EC219,"Volume")</f>
        <v>4596200</v>
      </c>
      <c r="BT219" s="24" cm="1">
        <f t="array" aca="1" ref="BT219" ca="1">_FV(EC219,"Beta")</f>
        <v>1.6512</v>
      </c>
      <c r="BU219" s="71" cm="1">
        <f t="array" aca="1" ref="BU219" ca="1">_FV(EC219,"Variação (%)",TRUE)</f>
        <v>2.3310000000000002E-3</v>
      </c>
      <c r="BW219" s="17" cm="1">
        <f t="array" aca="1" ref="BW219" ca="1">_FV(EC219,"Baixo")</f>
        <v>4.3</v>
      </c>
      <c r="BX219" s="17" cm="1">
        <f t="array" aca="1" ref="BX219" ca="1">_FV(EC219,"Alto")</f>
        <v>4.53</v>
      </c>
      <c r="BY219" s="24"/>
      <c r="BZ219" s="63" t="e">
        <f ca="1">SQRT(22.5*(BO219/VLOOKUP(BP219,Fundamentus!A:U,3,FALSE))*(BO219/VLOOKUP(BP219,Fundamentus!A:U,4,FALSE)))</f>
        <v>#NUM!</v>
      </c>
      <c r="CB219" s="62">
        <f t="shared" ca="1" si="241"/>
        <v>0</v>
      </c>
      <c r="CC219" s="8"/>
      <c r="CD219" s="61">
        <f t="shared" si="242"/>
        <v>3.12</v>
      </c>
      <c r="CE219" s="61">
        <f t="shared" si="243"/>
        <v>6.93</v>
      </c>
      <c r="CF219" s="61">
        <f t="shared" si="244"/>
        <v>4.9982575757575756</v>
      </c>
      <c r="CG219" s="14"/>
      <c r="CH219" s="35">
        <f t="shared" si="227"/>
        <v>3.8724083955172492</v>
      </c>
      <c r="CI219" s="15">
        <f t="shared" si="245"/>
        <v>4.2750000000000057</v>
      </c>
      <c r="CJ219" s="35">
        <f t="shared" si="228"/>
        <v>4.6775916044827621</v>
      </c>
      <c r="CL219" s="14"/>
      <c r="CM219" s="17">
        <f t="shared" si="229"/>
        <v>-1.1733333333333311</v>
      </c>
      <c r="CN219" s="17">
        <f t="shared" si="230"/>
        <v>0.97333333333333449</v>
      </c>
      <c r="CO219" s="17">
        <f t="shared" si="231"/>
        <v>2.6366666666666685</v>
      </c>
      <c r="CP219" s="38">
        <f t="shared" si="246"/>
        <v>4.7833333333333341</v>
      </c>
      <c r="CQ219" s="17">
        <f t="shared" si="232"/>
        <v>6.4466666666666681</v>
      </c>
      <c r="CR219" s="17">
        <f t="shared" si="233"/>
        <v>8.5933333333333337</v>
      </c>
      <c r="CS219" s="17">
        <f t="shared" si="234"/>
        <v>10.256666666666668</v>
      </c>
      <c r="CT219" s="2" cm="1">
        <f t="array" aca="1" ref="CT219" ca="1">MAX(_xlfn._xlws.FILTER(CM219:CS219,CM219:CS219&lt;BO219))</f>
        <v>2.6366666666666685</v>
      </c>
      <c r="CU219" s="2" cm="1">
        <f t="array" aca="1" ref="CU219" ca="1">MIN(_xlfn._xlws.FILTER($CM219:$CS219,$CM219:$CS219&gt;BO219))</f>
        <v>4.7833333333333341</v>
      </c>
      <c r="CV219" s="16">
        <f t="shared" ca="1" si="248"/>
        <v>0.81415929203539728</v>
      </c>
      <c r="CW219" s="20">
        <f t="shared" ca="1" si="249"/>
        <v>-0.40707964601769864</v>
      </c>
      <c r="CX219" s="20">
        <f t="shared" ca="1" si="250"/>
        <v>-0.27138643067846574</v>
      </c>
      <c r="CY219" s="20">
        <f t="shared" ca="1" si="251"/>
        <v>-0.16283185840707945</v>
      </c>
      <c r="CZ219" s="20">
        <f t="shared" ca="1" si="252"/>
        <v>-9.0462143559488589E-2</v>
      </c>
      <c r="DA219" s="20">
        <f t="shared" ca="1" si="253"/>
        <v>-4.7891723060905722E-2</v>
      </c>
      <c r="DB219" s="20">
        <f t="shared" ca="1" si="254"/>
        <v>-2.4671493698042342E-2</v>
      </c>
      <c r="DC219" s="20">
        <f t="shared" ca="1" si="255"/>
        <v>-1.2525527569775343E-2</v>
      </c>
      <c r="DD219" s="21">
        <f t="shared" ca="1" si="256"/>
        <v>1.2525527569775343E-2</v>
      </c>
      <c r="DE219" s="21">
        <f t="shared" ca="1" si="257"/>
        <v>2.4671493698042342E-2</v>
      </c>
      <c r="DF219" s="21">
        <f t="shared" ca="1" si="258"/>
        <v>4.7891723060905722E-2</v>
      </c>
      <c r="DG219" s="21">
        <f t="shared" ca="1" si="259"/>
        <v>9.0462143559488589E-2</v>
      </c>
      <c r="DH219" s="21">
        <f t="shared" ca="1" si="260"/>
        <v>0.16283185840707945</v>
      </c>
      <c r="DI219" s="21">
        <f t="shared" ca="1" si="261"/>
        <v>0.27138643067846574</v>
      </c>
      <c r="DJ219" s="21">
        <f t="shared" ca="1" si="262"/>
        <v>0.40707964601769864</v>
      </c>
      <c r="DL219" s="16" cm="1">
        <f t="array" aca="1" ref="DL219" ca="1">MAX(_xlfn._xlws.FILTER(CW219:DJ219,CW219:DJ219&lt;BU219))</f>
        <v>-1.2525527569775343E-2</v>
      </c>
      <c r="DM219" s="16" cm="1">
        <f t="array" aca="1" ref="DM219" ca="1">MIN(_xlfn._xlws.FILTER(CW219:DJ219,CW219:DJ219&gt;BU219))</f>
        <v>1.2525527569775343E-2</v>
      </c>
      <c r="DN219" s="2" cm="1">
        <f t="array" aca="1" ref="DN219" ca="1">_FV(EC219,"Fechamento anterior",TRUE)</f>
        <v>4.29</v>
      </c>
      <c r="DO219" s="28">
        <f t="shared" ca="1" si="235"/>
        <v>0.59305006587615083</v>
      </c>
      <c r="DP219" s="15">
        <f t="shared" ca="1" si="263"/>
        <v>4.2362654867256637</v>
      </c>
      <c r="DQ219" s="15">
        <f t="shared" ca="1" si="264"/>
        <v>4.3437345132743364</v>
      </c>
      <c r="DR219" s="9"/>
      <c r="DS219" s="9"/>
      <c r="DT219" s="9"/>
      <c r="DU219" s="89">
        <v>2.5568797399783308E-2</v>
      </c>
      <c r="DV219" s="89">
        <f t="shared" ca="1" si="236"/>
        <v>2.5051055139550686E-2</v>
      </c>
      <c r="DW219" s="72">
        <f t="shared" ca="1" si="237"/>
        <v>6.2097668509788616E-2</v>
      </c>
      <c r="DX219" s="37"/>
      <c r="DY219" s="35">
        <f t="shared" si="247"/>
        <v>0.20129580224137825</v>
      </c>
      <c r="DZ219" s="56"/>
      <c r="EA219" s="56"/>
      <c r="EC219" s="2" t="e" vm="221">
        <v>#VALUE!</v>
      </c>
      <c r="EE219" s="10" cm="1">
        <f t="array" aca="1" ref="EE219" ca="1">_FV(EC219,"Ações em circulação",TRUE)</f>
        <v>873040500</v>
      </c>
      <c r="EF219" s="18">
        <f>VLOOKUP(BP219,Fundamentus!A:U,5,FALSE)</f>
        <v>8.6999999999999994E-2</v>
      </c>
      <c r="EG219" s="2">
        <f t="shared" ca="1" si="238"/>
        <v>43150277586.206902</v>
      </c>
      <c r="EH219" s="17">
        <v>17260111.034482762</v>
      </c>
      <c r="EI219" s="17">
        <f t="shared" ca="1" si="239"/>
        <v>17260111.034482762</v>
      </c>
      <c r="EK219" s="16">
        <f t="shared" ca="1" si="226"/>
        <v>0</v>
      </c>
      <c r="EL219" s="32" t="str">
        <f>IF(VLOOKUP(BP219,Fundamentus!A:U,3,FALSE)&lt;15,"Bom",IF(VLOOKUP(BP219,Fundamentus!A:U,3,FALSE)&gt;15,"Ruim","n/a"))</f>
        <v>Bom</v>
      </c>
      <c r="EM219" s="28" t="str">
        <f>IF(VLOOKUP(BP219,Fundamentus!A:U,4,FALSE)&lt;1,"Baixo",IF(VLOOKUP(BP219,Fundamentus!A:U,4,FALSE)&lt;1.5,"Moderado",IF(VLOOKUP(BP219,Fundamentus!A:U,4,FALSE)&gt;1.5,"Alto","n/a")))</f>
        <v>Moderado</v>
      </c>
      <c r="EN219" s="17" t="str">
        <f>IF(VLOOKUP(BP219,Fundamentus!A:U,8,FALSE)&lt;0,"Risco elevado",IF(VLOOKUP(BP219,Fundamentus!A:U,8,FALSE)&lt;1,"Saudável",IF(VLOOKUP(BP219,Fundamentus!A:U,8,FALSE)&lt;3,"Estável",IF(VLOOKUP(BP219,Fundamentus!A:U,8,FALSE)&gt;3,"Alerta","n/a"))))</f>
        <v>Saudável</v>
      </c>
      <c r="EO219" s="28" t="str">
        <f t="shared" si="240"/>
        <v>Ruim</v>
      </c>
      <c r="EP219" s="17" t="str">
        <f>IF(VLOOKUP(BP219,Fundamentus!A:U,12,FALSE)&lt;2,"Subvalorizada",IF(VLOOKUP(BP219,Fundamentus!A:U,12,FALSE)&lt;6,"Muita barata",IF(VLOOKUP(BP219,Fundamentus!A:U,12,FALSE)&lt;6,"Barata",IF(VLOOKUP(BP219,Fundamentus!A:U,12,FALSE)&lt;8,"Atrativa",IF(VLOOKUP(BP219,Fundamentus!A:U,12,FALSE)&gt;8,"Supervalorizada","n/a")))))</f>
        <v>Muita barata</v>
      </c>
      <c r="ER219" s="17" t="str">
        <f>IF(VLOOKUP(BP219,Fundamentus!A:U,17,FALSE)&lt;0.1,"Fraco retorno",IF(VLOOKUP(BP219,Fundamentus!A:U,17,FALSE)&gt;0.1,"Bom retorno","n/a"))</f>
        <v>Fraco retorno</v>
      </c>
      <c r="ES219" s="17" t="str">
        <f>IF(VLOOKUP(BP219,Fundamentus!A:U,16,FALSE)&lt;0.1,"Ineficiente",IF(VLOOKUP(BP219,Fundamentus!A:U,16,FALSE)&gt;0.1,"Eficiente","n/a"))</f>
        <v>Eficiente</v>
      </c>
      <c r="ET219" s="33" t="str">
        <f>IF(VLOOKUP(BP219,Fundamentus!A:U,16,FALSE)&lt;0.1,"Oper. Ineficiente",IF(VLOOKUP(BP219,Fundamentus!A:U,16,FALSE)&gt;0.1,"Oper.Eficiente","n/a"))</f>
        <v>Oper.Eficiente</v>
      </c>
      <c r="EU219" s="34">
        <f>VLOOKUP(BP219,Fundamentus!A:U,14,FALSE)</f>
        <v>4.0000000000000002E-4</v>
      </c>
      <c r="EV219" s="17" t="str">
        <f>IF(VLOOKUP(BP219,Fundamentus!A:U,21,FALSE)&lt;0,"Negativo",IF(VLOOKUP(BP219,Fundamentus!A:U,21,FALSE)&lt;0.05,"Fraco",IF(VLOOKUP(BP219,Fundamentus!A:U,21,FALSE)&lt;0.1,"Bom",IF(VLOOKUP(BP219,Fundamentus!A:U,21,FALSE)&gt;0.1,"Muito bom","n/a"))))</f>
        <v>Muito bom</v>
      </c>
      <c r="EX219" s="29" t="str">
        <f>IF(VLOOKUP(BP219,Fundamentus!A:U,15,FALSE)&gt;1,"Bom",IF(VLOOKUP(BP219,Fundamentus!A:U,15,FALSE)&lt;1,"Ruim","n/a"))</f>
        <v>Bom</v>
      </c>
      <c r="EY219" s="17" t="str">
        <f>IF(VLOOKUP(BP219,Fundamentus!A:U,20,FALSE)&lt;0.5,"Baixa",IF(VLOOKUP(BP219,Fundamentus!A:U,20,FALSE)&lt;1,"Moderada",IF(VLOOKUP(BP219,Fundamentus!A:U,20,FALSE)&lt;2,"Alerta",IF(VLOOKUP(BP219,Fundamentus!A:U,20,FALSE)&gt;2,"Alta","n/a"))))</f>
        <v>Alta</v>
      </c>
    </row>
    <row r="220" spans="1:156" s="2" customFormat="1" ht="11.25" x14ac:dyDescent="0.2">
      <c r="A220" s="4">
        <v>8.76</v>
      </c>
      <c r="B220" s="4">
        <v>8.14</v>
      </c>
      <c r="C220" s="4">
        <v>7.73</v>
      </c>
      <c r="D220" s="4">
        <v>7.57</v>
      </c>
      <c r="E220" s="4">
        <v>7.56</v>
      </c>
      <c r="F220" s="4">
        <v>7.14</v>
      </c>
      <c r="G220" s="4">
        <v>6.8</v>
      </c>
      <c r="H220" s="4">
        <v>6.45</v>
      </c>
      <c r="I220" s="4">
        <v>6.92</v>
      </c>
      <c r="J220" s="4">
        <v>7.3</v>
      </c>
      <c r="K220" s="4">
        <v>7.58</v>
      </c>
      <c r="L220" s="4">
        <v>7.34</v>
      </c>
      <c r="M220" s="4">
        <v>7.04</v>
      </c>
      <c r="N220" s="4">
        <v>7.07</v>
      </c>
      <c r="O220" s="4">
        <v>8.1</v>
      </c>
      <c r="P220" s="4">
        <v>8.5299999999999994</v>
      </c>
      <c r="Q220" s="4">
        <v>8.92</v>
      </c>
      <c r="R220" s="4">
        <v>8.66</v>
      </c>
      <c r="S220" s="4">
        <v>8.8800000000000008</v>
      </c>
      <c r="T220" s="4">
        <v>8.93</v>
      </c>
      <c r="U220" s="4">
        <v>8.16</v>
      </c>
      <c r="V220" s="4">
        <v>8.09</v>
      </c>
      <c r="W220" s="4">
        <v>7.57</v>
      </c>
      <c r="X220" s="4">
        <v>8.16</v>
      </c>
      <c r="Y220" s="4">
        <v>7.87</v>
      </c>
      <c r="Z220" s="4">
        <v>8.15</v>
      </c>
      <c r="AA220" s="4">
        <v>8.3699999999999992</v>
      </c>
      <c r="AB220" s="4">
        <v>8.3000000000000007</v>
      </c>
      <c r="AC220" s="4">
        <v>8.01</v>
      </c>
      <c r="AD220" s="4">
        <v>8.25</v>
      </c>
      <c r="AE220" s="4">
        <v>6.97</v>
      </c>
      <c r="AF220" s="4">
        <v>6.75</v>
      </c>
      <c r="AG220" s="4">
        <v>6.5</v>
      </c>
      <c r="AH220" s="4">
        <v>6.19</v>
      </c>
      <c r="AI220" s="4">
        <v>6.15</v>
      </c>
      <c r="AJ220" s="4">
        <v>5.83</v>
      </c>
      <c r="AK220" s="4">
        <v>5.71</v>
      </c>
      <c r="AL220" s="4">
        <v>5.85</v>
      </c>
      <c r="AM220" s="4">
        <v>6.28</v>
      </c>
      <c r="AN220" s="4">
        <v>6.51</v>
      </c>
      <c r="AO220" s="4">
        <v>6.21</v>
      </c>
      <c r="AP220" s="4">
        <v>6.77</v>
      </c>
      <c r="AQ220" s="4">
        <v>6.72</v>
      </c>
      <c r="AR220" s="4">
        <v>6.14</v>
      </c>
      <c r="AS220" s="4">
        <v>6.75</v>
      </c>
      <c r="AT220" s="4">
        <v>7.4</v>
      </c>
      <c r="AU220" s="4">
        <v>7.11</v>
      </c>
      <c r="AV220" s="4">
        <v>6.77</v>
      </c>
      <c r="AW220" s="4">
        <v>6.44</v>
      </c>
      <c r="AX220" s="4">
        <v>6.59</v>
      </c>
      <c r="AY220" s="12">
        <v>7.57</v>
      </c>
      <c r="AZ220" s="12">
        <v>8.11</v>
      </c>
      <c r="BA220" s="12">
        <v>8.14</v>
      </c>
      <c r="BB220" s="15">
        <v>8.11</v>
      </c>
      <c r="BC220" s="52">
        <v>8.06</v>
      </c>
      <c r="BD220" s="52">
        <v>8.11</v>
      </c>
      <c r="BE220" s="52">
        <v>8.5399999999999991</v>
      </c>
      <c r="BF220" s="52">
        <v>8.1</v>
      </c>
      <c r="BG220" s="67">
        <v>8.01</v>
      </c>
      <c r="BH220" s="52">
        <v>8.02</v>
      </c>
      <c r="BI220" s="52">
        <v>8.48</v>
      </c>
      <c r="BJ220" s="52">
        <v>8.83</v>
      </c>
      <c r="BK220" s="52">
        <v>7.95</v>
      </c>
      <c r="BL220" s="52">
        <v>7.69</v>
      </c>
      <c r="BM220" s="52">
        <v>7.77</v>
      </c>
      <c r="BN220" s="52">
        <v>7.67</v>
      </c>
      <c r="BO220" s="52" cm="1">
        <f t="array" aca="1" ref="BO220" ca="1">_FV(EC220,"Preço")</f>
        <v>7.67</v>
      </c>
      <c r="BP220" s="69" t="s">
        <v>216</v>
      </c>
      <c r="BQ220" s="36" cm="1">
        <f t="array" aca="1" ref="BQ220" ca="1">_FV(EC220,"Média de volume",TRUE)</f>
        <v>687910</v>
      </c>
      <c r="BR220" s="36">
        <v>923200</v>
      </c>
      <c r="BS220" s="36" cm="1">
        <f t="array" aca="1" ref="BS220" ca="1">_FV(EC220,"Volume")</f>
        <v>923200</v>
      </c>
      <c r="BT220" s="24" cm="1">
        <f t="array" aca="1" ref="BT220" ca="1">_FV(EC220,"Beta")</f>
        <v>2.2035999999999998</v>
      </c>
      <c r="BU220" s="71" cm="1">
        <f t="array" aca="1" ref="BU220" ca="1">_FV(EC220,"Variação (%)",TRUE)</f>
        <v>-7.7619999999999998E-3</v>
      </c>
      <c r="BW220" s="17" cm="1">
        <f t="array" aca="1" ref="BW220" ca="1">_FV(EC220,"Baixo")</f>
        <v>7.65</v>
      </c>
      <c r="BX220" s="17" cm="1">
        <f t="array" aca="1" ref="BX220" ca="1">_FV(EC220,"Alto")</f>
        <v>7.95</v>
      </c>
      <c r="BY220" s="24"/>
      <c r="BZ220" s="63">
        <f ca="1">SQRT(22.5*(BO220/VLOOKUP(BP220,Fundamentus!A:U,3,FALSE))*(BO220/VLOOKUP(BP220,Fundamentus!A:U,4,FALSE)))</f>
        <v>12.049399652468457</v>
      </c>
      <c r="CB220" s="62">
        <f t="shared" ca="1" si="241"/>
        <v>0</v>
      </c>
      <c r="CC220" s="8"/>
      <c r="CD220" s="61">
        <f t="shared" si="242"/>
        <v>5.71</v>
      </c>
      <c r="CE220" s="61">
        <f t="shared" si="243"/>
        <v>8.93</v>
      </c>
      <c r="CF220" s="61">
        <f t="shared" si="244"/>
        <v>7.5022727272727252</v>
      </c>
      <c r="CG220" s="14"/>
      <c r="CH220" s="35">
        <f t="shared" si="227"/>
        <v>6.7092853509903332</v>
      </c>
      <c r="CI220" s="15">
        <f t="shared" si="245"/>
        <v>7.5799999999999841</v>
      </c>
      <c r="CJ220" s="35">
        <f t="shared" si="228"/>
        <v>8.450714649009635</v>
      </c>
      <c r="CL220" s="14"/>
      <c r="CM220" s="17">
        <f t="shared" si="229"/>
        <v>2.7233333333333354</v>
      </c>
      <c r="CN220" s="17">
        <f t="shared" si="230"/>
        <v>4.2166666666666677</v>
      </c>
      <c r="CO220" s="17">
        <f t="shared" si="231"/>
        <v>5.9433333333333351</v>
      </c>
      <c r="CP220" s="38">
        <f t="shared" si="246"/>
        <v>7.4366666666666674</v>
      </c>
      <c r="CQ220" s="17">
        <f t="shared" si="232"/>
        <v>9.163333333333334</v>
      </c>
      <c r="CR220" s="17">
        <f t="shared" si="233"/>
        <v>10.656666666666666</v>
      </c>
      <c r="CS220" s="17">
        <f t="shared" si="234"/>
        <v>12.383333333333335</v>
      </c>
      <c r="CT220" s="2" cm="1">
        <f t="array" aca="1" ref="CT220" ca="1">MAX(_xlfn._xlws.FILTER(CM220:CS220,CM220:CS220&lt;BO220))</f>
        <v>7.4366666666666674</v>
      </c>
      <c r="CU220" s="2" cm="1">
        <f t="array" aca="1" ref="CU220" ca="1">MIN(_xlfn._xlws.FILTER($CM220:$CS220,$CM220:$CS220&gt;BO220))</f>
        <v>9.163333333333334</v>
      </c>
      <c r="CV220" s="16">
        <f t="shared" ca="1" si="248"/>
        <v>0.23218287763334833</v>
      </c>
      <c r="CW220" s="20">
        <f t="shared" ca="1" si="249"/>
        <v>-0.11609143881667416</v>
      </c>
      <c r="CX220" s="20">
        <f t="shared" ca="1" si="250"/>
        <v>-7.7394292544449447E-2</v>
      </c>
      <c r="CY220" s="20">
        <f t="shared" ca="1" si="251"/>
        <v>-4.6436575526669667E-2</v>
      </c>
      <c r="CZ220" s="20">
        <f t="shared" ca="1" si="252"/>
        <v>-2.579809751481648E-2</v>
      </c>
      <c r="DA220" s="20">
        <f t="shared" ca="1" si="253"/>
        <v>-1.3657816331373432E-2</v>
      </c>
      <c r="DB220" s="20">
        <f t="shared" ca="1" si="254"/>
        <v>-7.035844776768131E-3</v>
      </c>
      <c r="DC220" s="20">
        <f t="shared" ca="1" si="255"/>
        <v>-3.5720442712822821E-3</v>
      </c>
      <c r="DD220" s="21">
        <f t="shared" ca="1" si="256"/>
        <v>3.5720442712822821E-3</v>
      </c>
      <c r="DE220" s="21">
        <f t="shared" ca="1" si="257"/>
        <v>7.035844776768131E-3</v>
      </c>
      <c r="DF220" s="21">
        <f t="shared" ca="1" si="258"/>
        <v>1.3657816331373432E-2</v>
      </c>
      <c r="DG220" s="21">
        <f t="shared" ca="1" si="259"/>
        <v>2.579809751481648E-2</v>
      </c>
      <c r="DH220" s="21">
        <f t="shared" ca="1" si="260"/>
        <v>4.6436575526669667E-2</v>
      </c>
      <c r="DI220" s="21">
        <f t="shared" ca="1" si="261"/>
        <v>7.7394292544449447E-2</v>
      </c>
      <c r="DJ220" s="21">
        <f t="shared" ca="1" si="262"/>
        <v>0.11609143881667416</v>
      </c>
      <c r="DL220" s="16" cm="1">
        <f t="array" aca="1" ref="DL220" ca="1">MAX(_xlfn._xlws.FILTER(CW220:DJ220,CW220:DJ220&lt;BU220))</f>
        <v>-1.3657816331373432E-2</v>
      </c>
      <c r="DM220" s="16" cm="1">
        <f t="array" aca="1" ref="DM220" ca="1">MIN(_xlfn._xlws.FILTER(CW220:DJ220,CW220:DJ220&gt;BU220))</f>
        <v>-7.035844776768131E-3</v>
      </c>
      <c r="DN220" s="2" cm="1">
        <f t="array" aca="1" ref="DN220" ca="1">_FV(EC220,"Fechamento anterior",TRUE)</f>
        <v>7.73</v>
      </c>
      <c r="DO220" s="28">
        <f t="shared" ca="1" si="235"/>
        <v>0.89034661625216693</v>
      </c>
      <c r="DP220" s="15">
        <f t="shared" ca="1" si="263"/>
        <v>7.6244250797584838</v>
      </c>
      <c r="DQ220" s="15">
        <f t="shared" ca="1" si="264"/>
        <v>7.6756129198755829</v>
      </c>
      <c r="DR220" s="9"/>
      <c r="DS220" s="9"/>
      <c r="DT220" s="9"/>
      <c r="DU220" s="89">
        <v>3.4740599003921921E-3</v>
      </c>
      <c r="DV220" s="89">
        <f t="shared" ca="1" si="236"/>
        <v>6.6219715546053009E-3</v>
      </c>
      <c r="DW220" s="72">
        <f t="shared" ca="1" si="237"/>
        <v>0.10336336950616562</v>
      </c>
      <c r="DX220" s="37"/>
      <c r="DY220" s="35">
        <f t="shared" si="247"/>
        <v>0.43535732450482562</v>
      </c>
      <c r="DZ220" s="56"/>
      <c r="EA220" s="56"/>
      <c r="EC220" s="2" t="e" vm="222">
        <v>#VALUE!</v>
      </c>
      <c r="EE220" s="10" cm="1">
        <f t="array" aca="1" ref="EE220" ca="1">_FV(EC220,"Ações em circulação",TRUE)</f>
        <v>499200000</v>
      </c>
      <c r="EF220" s="18">
        <f>VLOOKUP(BP220,Fundamentus!A:U,5,FALSE)</f>
        <v>0.40699999999999997</v>
      </c>
      <c r="EG220" s="2">
        <f t="shared" ca="1" si="238"/>
        <v>9407528255.5282555</v>
      </c>
      <c r="EH220" s="17">
        <v>311389185.25798523</v>
      </c>
      <c r="EI220" s="17">
        <f t="shared" ca="1" si="239"/>
        <v>311389185.25798523</v>
      </c>
      <c r="EK220" s="16">
        <f t="shared" ca="1" si="226"/>
        <v>0</v>
      </c>
      <c r="EL220" s="32" t="str">
        <f>IF(VLOOKUP(BP220,Fundamentus!A:U,3,FALSE)&lt;15,"Bom",IF(VLOOKUP(BP220,Fundamentus!A:U,3,FALSE)&gt;15,"Ruim","n/a"))</f>
        <v>Bom</v>
      </c>
      <c r="EM220" s="28" t="str">
        <f>IF(VLOOKUP(BP220,Fundamentus!A:U,4,FALSE)&lt;1,"Baixo",IF(VLOOKUP(BP220,Fundamentus!A:U,4,FALSE)&lt;1.5,"Moderado",IF(VLOOKUP(BP220,Fundamentus!A:U,4,FALSE)&gt;1.5,"Alto","n/a")))</f>
        <v>Baixo</v>
      </c>
      <c r="EN220" s="17" t="str">
        <f>IF(VLOOKUP(BP220,Fundamentus!A:U,8,FALSE)&lt;0,"Risco elevado",IF(VLOOKUP(BP220,Fundamentus!A:U,8,FALSE)&lt;1,"Saudável",IF(VLOOKUP(BP220,Fundamentus!A:U,8,FALSE)&lt;3,"Estável",IF(VLOOKUP(BP220,Fundamentus!A:U,8,FALSE)&gt;3,"Alerta","n/a"))))</f>
        <v>Estável</v>
      </c>
      <c r="EO220" s="28" t="str">
        <f t="shared" si="240"/>
        <v>Ruim</v>
      </c>
      <c r="EP220" s="17" t="str">
        <f>IF(VLOOKUP(BP220,Fundamentus!A:U,12,FALSE)&lt;2,"Subvalorizada",IF(VLOOKUP(BP220,Fundamentus!A:U,12,FALSE)&lt;6,"Muita barata",IF(VLOOKUP(BP220,Fundamentus!A:U,12,FALSE)&lt;6,"Barata",IF(VLOOKUP(BP220,Fundamentus!A:U,12,FALSE)&lt;8,"Atrativa",IF(VLOOKUP(BP220,Fundamentus!A:U,12,FALSE)&gt;8,"Supervalorizada","n/a")))))</f>
        <v>Muita barata</v>
      </c>
      <c r="ER220" s="17" t="str">
        <f>IF(VLOOKUP(BP220,Fundamentus!A:U,17,FALSE)&lt;0.1,"Fraco retorno",IF(VLOOKUP(BP220,Fundamentus!A:U,17,FALSE)&gt;0.1,"Bom retorno","n/a"))</f>
        <v>Fraco retorno</v>
      </c>
      <c r="ES220" s="17" t="str">
        <f>IF(VLOOKUP(BP220,Fundamentus!A:U,16,FALSE)&lt;0.1,"Ineficiente",IF(VLOOKUP(BP220,Fundamentus!A:U,16,FALSE)&gt;0.1,"Eficiente","n/a"))</f>
        <v>Ineficiente</v>
      </c>
      <c r="ET220" s="33" t="str">
        <f>IF(VLOOKUP(BP220,Fundamentus!A:U,16,FALSE)&lt;0.1,"Oper. Ineficiente",IF(VLOOKUP(BP220,Fundamentus!A:U,16,FALSE)&gt;0.1,"Oper.Eficiente","n/a"))</f>
        <v>Oper. Ineficiente</v>
      </c>
      <c r="EU220" s="34">
        <f>VLOOKUP(BP220,Fundamentus!A:U,14,FALSE)</f>
        <v>3.3099999999999997E-2</v>
      </c>
      <c r="EV220" s="17" t="str">
        <f>IF(VLOOKUP(BP220,Fundamentus!A:U,21,FALSE)&lt;0,"Negativo",IF(VLOOKUP(BP220,Fundamentus!A:U,21,FALSE)&lt;0.05,"Fraco",IF(VLOOKUP(BP220,Fundamentus!A:U,21,FALSE)&lt;0.1,"Bom",IF(VLOOKUP(BP220,Fundamentus!A:U,21,FALSE)&gt;0.1,"Muito bom","n/a"))))</f>
        <v>Muito bom</v>
      </c>
      <c r="EX220" s="29" t="str">
        <f>IF(VLOOKUP(BP220,Fundamentus!A:U,15,FALSE)&gt;1,"Bom",IF(VLOOKUP(BP220,Fundamentus!A:U,15,FALSE)&lt;1,"Ruim","n/a"))</f>
        <v>Bom</v>
      </c>
      <c r="EY220" s="17" t="str">
        <f>IF(VLOOKUP(BP220,Fundamentus!A:U,20,FALSE)&lt;0.5,"Baixa",IF(VLOOKUP(BP220,Fundamentus!A:U,20,FALSE)&lt;1,"Moderada",IF(VLOOKUP(BP220,Fundamentus!A:U,20,FALSE)&lt;2,"Alerta",IF(VLOOKUP(BP220,Fundamentus!A:U,20,FALSE)&gt;2,"Alta","n/a"))))</f>
        <v>Baixa</v>
      </c>
    </row>
    <row r="221" spans="1:156" s="2" customFormat="1" ht="11.25" x14ac:dyDescent="0.2">
      <c r="A221" s="4">
        <v>0.76</v>
      </c>
      <c r="B221" s="4">
        <v>0.72</v>
      </c>
      <c r="C221" s="4">
        <v>0.62</v>
      </c>
      <c r="D221" s="4">
        <v>0.54</v>
      </c>
      <c r="E221" s="4">
        <v>0.46</v>
      </c>
      <c r="F221" s="4">
        <v>0.39</v>
      </c>
      <c r="G221" s="4">
        <v>0.36</v>
      </c>
      <c r="H221" s="4">
        <v>0.36</v>
      </c>
      <c r="I221" s="4">
        <v>0.37</v>
      </c>
      <c r="J221" s="4">
        <v>1.49</v>
      </c>
      <c r="K221" s="4">
        <v>1.98</v>
      </c>
      <c r="L221" s="4">
        <v>2.34</v>
      </c>
      <c r="M221" s="4">
        <v>2.2999999999999998</v>
      </c>
      <c r="N221" s="4">
        <v>1.96</v>
      </c>
      <c r="O221" s="4">
        <v>1.88</v>
      </c>
      <c r="P221" s="4">
        <v>1.64</v>
      </c>
      <c r="Q221" s="4">
        <v>1.64</v>
      </c>
      <c r="R221" s="4">
        <v>1.64</v>
      </c>
      <c r="S221" s="4">
        <v>1.64</v>
      </c>
      <c r="T221" s="4">
        <v>1.64</v>
      </c>
      <c r="U221" s="4">
        <v>1.64</v>
      </c>
      <c r="V221" s="4">
        <v>1.64</v>
      </c>
      <c r="W221" s="4">
        <v>1.64</v>
      </c>
      <c r="X221" s="4">
        <v>1.64</v>
      </c>
      <c r="Y221" s="4">
        <v>1.64</v>
      </c>
      <c r="Z221" s="4">
        <v>1.64</v>
      </c>
      <c r="AA221" s="4">
        <v>1.64</v>
      </c>
      <c r="AB221" s="4">
        <v>1.64</v>
      </c>
      <c r="AC221" s="4">
        <v>1.64</v>
      </c>
      <c r="AD221" s="4">
        <v>1.64</v>
      </c>
      <c r="AE221" s="4">
        <v>1.64</v>
      </c>
      <c r="AF221" s="4">
        <v>1.64</v>
      </c>
      <c r="AG221" s="4">
        <v>1.64</v>
      </c>
      <c r="AH221" s="4">
        <v>1.64</v>
      </c>
      <c r="AI221" s="4">
        <v>1.64</v>
      </c>
      <c r="AJ221" s="4">
        <v>1.64</v>
      </c>
      <c r="AK221" s="4">
        <v>1.64</v>
      </c>
      <c r="AL221" s="4">
        <v>1.64</v>
      </c>
      <c r="AM221" s="4">
        <v>1.64</v>
      </c>
      <c r="AN221" s="4">
        <v>1.64</v>
      </c>
      <c r="AO221" s="4">
        <v>1.64</v>
      </c>
      <c r="AP221" s="4">
        <v>1.64</v>
      </c>
      <c r="AQ221" s="4">
        <v>1.64</v>
      </c>
      <c r="AR221" s="4">
        <v>1.64</v>
      </c>
      <c r="AS221" s="4">
        <v>1.64</v>
      </c>
      <c r="AT221" s="4">
        <v>1.64</v>
      </c>
      <c r="AU221" s="4">
        <v>1.64</v>
      </c>
      <c r="AV221" s="4">
        <v>1.64</v>
      </c>
      <c r="AW221" s="4">
        <v>1.64</v>
      </c>
      <c r="AX221" s="4">
        <v>1.64</v>
      </c>
      <c r="AY221" s="12">
        <v>1.64</v>
      </c>
      <c r="AZ221" s="12">
        <v>1.64</v>
      </c>
      <c r="BA221" s="12">
        <v>1.64</v>
      </c>
      <c r="BB221" s="15">
        <v>1.64</v>
      </c>
      <c r="BC221" s="52">
        <v>1.64</v>
      </c>
      <c r="BD221" s="52">
        <v>1.64</v>
      </c>
      <c r="BE221" s="52">
        <v>1.64</v>
      </c>
      <c r="BF221" s="52">
        <v>1.64</v>
      </c>
      <c r="BG221" s="67">
        <v>1.64</v>
      </c>
      <c r="BH221" s="52">
        <v>1.64</v>
      </c>
      <c r="BI221" s="52">
        <v>1.64</v>
      </c>
      <c r="BJ221" s="52">
        <v>1.64</v>
      </c>
      <c r="BK221" s="52">
        <v>1.64</v>
      </c>
      <c r="BL221" s="52">
        <v>1.64</v>
      </c>
      <c r="BM221" s="52">
        <v>1.64</v>
      </c>
      <c r="BN221" s="52">
        <v>1.64</v>
      </c>
      <c r="BO221" s="52" cm="1">
        <f t="array" aca="1" ref="BO221" ca="1">_FV(EC221,"Preço")</f>
        <v>1.64</v>
      </c>
      <c r="BP221" s="69" t="s">
        <v>217</v>
      </c>
      <c r="BQ221" s="36" t="e" cm="1" vm="3">
        <f t="array" ref="BQ221">_FV(EC221,"Média de volume",TRUE)</f>
        <v>#VALUE!</v>
      </c>
      <c r="BR221" s="36">
        <v>19800</v>
      </c>
      <c r="BS221" s="36" cm="1">
        <f t="array" aca="1" ref="BS221" ca="1">_FV(EC221,"Volume")</f>
        <v>19800</v>
      </c>
      <c r="BT221" s="24" cm="1">
        <f t="array" aca="1" ref="BT221" ca="1">_FV(EC221,"Beta")</f>
        <v>2.1299000000000001</v>
      </c>
      <c r="BU221" s="71" cm="1">
        <f t="array" aca="1" ref="BU221" ca="1">_FV(EC221,"Variação (%)",TRUE)</f>
        <v>-6.2856999999999996E-2</v>
      </c>
      <c r="BW221" s="17" cm="1">
        <f t="array" aca="1" ref="BW221" ca="1">_FV(EC221,"Baixo")</f>
        <v>1.64</v>
      </c>
      <c r="BX221" s="17" cm="1">
        <f t="array" aca="1" ref="BX221" ca="1">_FV(EC221,"Alto")</f>
        <v>1.64</v>
      </c>
      <c r="BY221" s="24"/>
      <c r="BZ221" s="63" t="e">
        <f ca="1">SQRT(22.5*(BO221/VLOOKUP(BP221,Fundamentus!A:U,3,FALSE))*(BO221/VLOOKUP(BP221,Fundamentus!A:U,4,FALSE)))</f>
        <v>#N/A</v>
      </c>
      <c r="CB221" s="62">
        <f t="shared" ca="1" si="241"/>
        <v>0</v>
      </c>
      <c r="CC221" s="8"/>
      <c r="CD221" s="61">
        <f t="shared" si="242"/>
        <v>0.36</v>
      </c>
      <c r="CE221" s="61">
        <f t="shared" si="243"/>
        <v>2.34</v>
      </c>
      <c r="CF221" s="61">
        <f t="shared" si="244"/>
        <v>1.5177272727272733</v>
      </c>
      <c r="CG221" s="14"/>
      <c r="CH221" s="35">
        <f t="shared" si="227"/>
        <v>1.64</v>
      </c>
      <c r="CI221" s="15">
        <f t="shared" si="245"/>
        <v>1.64</v>
      </c>
      <c r="CJ221" s="35">
        <f t="shared" si="228"/>
        <v>1.64</v>
      </c>
      <c r="CL221" s="14"/>
      <c r="CM221" s="17">
        <f t="shared" si="229"/>
        <v>-1.4266666666666667</v>
      </c>
      <c r="CN221" s="17">
        <f t="shared" si="230"/>
        <v>-0.53333333333333344</v>
      </c>
      <c r="CO221" s="17">
        <f t="shared" si="231"/>
        <v>0.55333333333333323</v>
      </c>
      <c r="CP221" s="38">
        <f t="shared" si="246"/>
        <v>1.4466666666666665</v>
      </c>
      <c r="CQ221" s="17">
        <f t="shared" si="232"/>
        <v>2.5333333333333332</v>
      </c>
      <c r="CR221" s="17">
        <f t="shared" si="233"/>
        <v>3.4266666666666667</v>
      </c>
      <c r="CS221" s="17">
        <f t="shared" si="234"/>
        <v>4.5133333333333328</v>
      </c>
      <c r="CT221" s="2" cm="1">
        <f t="array" aca="1" ref="CT221" ca="1">MAX(_xlfn._xlws.FILTER(CM221:CS221,CM221:CS221&lt;BO221))</f>
        <v>1.4466666666666665</v>
      </c>
      <c r="CU221" s="2" cm="1">
        <f t="array" aca="1" ref="CU221" ca="1">MIN(_xlfn._xlws.FILTER($CM221:$CS221,$CM221:$CS221&gt;BO221))</f>
        <v>2.5333333333333332</v>
      </c>
      <c r="CV221" s="16">
        <f t="shared" ca="1" si="248"/>
        <v>0.75115207373271886</v>
      </c>
      <c r="CW221" s="20">
        <f t="shared" ca="1" si="249"/>
        <v>-0.37557603686635943</v>
      </c>
      <c r="CX221" s="20">
        <f t="shared" ca="1" si="250"/>
        <v>-0.25038402457757297</v>
      </c>
      <c r="CY221" s="20">
        <f t="shared" ca="1" si="251"/>
        <v>-0.15023041474654378</v>
      </c>
      <c r="CZ221" s="20">
        <f t="shared" ca="1" si="252"/>
        <v>-8.3461341525857657E-2</v>
      </c>
      <c r="DA221" s="20">
        <f t="shared" ca="1" si="253"/>
        <v>-4.4185416101924641E-2</v>
      </c>
      <c r="DB221" s="20">
        <f t="shared" ca="1" si="254"/>
        <v>-2.2762184052506632E-2</v>
      </c>
      <c r="DC221" s="20">
        <f t="shared" ca="1" si="255"/>
        <v>-1.1556185749734136E-2</v>
      </c>
      <c r="DD221" s="21">
        <f t="shared" ca="1" si="256"/>
        <v>1.1556185749734136E-2</v>
      </c>
      <c r="DE221" s="21">
        <f t="shared" ca="1" si="257"/>
        <v>2.2762184052506632E-2</v>
      </c>
      <c r="DF221" s="21">
        <f t="shared" ca="1" si="258"/>
        <v>4.4185416101924641E-2</v>
      </c>
      <c r="DG221" s="21">
        <f t="shared" ca="1" si="259"/>
        <v>8.3461341525857657E-2</v>
      </c>
      <c r="DH221" s="21">
        <f t="shared" ca="1" si="260"/>
        <v>0.15023041474654378</v>
      </c>
      <c r="DI221" s="21">
        <f t="shared" ca="1" si="261"/>
        <v>0.25038402457757297</v>
      </c>
      <c r="DJ221" s="21">
        <f t="shared" ca="1" si="262"/>
        <v>0.37557603686635943</v>
      </c>
      <c r="DL221" s="16" cm="1">
        <f t="array" aca="1" ref="DL221" ca="1">MAX(_xlfn._xlws.FILTER(CW221:DJ221,CW221:DJ221&lt;BU221))</f>
        <v>-8.3461341525857657E-2</v>
      </c>
      <c r="DM221" s="16" cm="1">
        <f t="array" aca="1" ref="DM221" ca="1">MIN(_xlfn._xlws.FILTER(CW221:DJ221,CW221:DJ221&gt;BU221))</f>
        <v>-4.4185416101924641E-2</v>
      </c>
      <c r="DN221" s="2" cm="1">
        <f t="array" aca="1" ref="DN221" ca="1">_FV(EC221,"Fechamento anterior",TRUE)</f>
        <v>1.75</v>
      </c>
      <c r="DO221" s="28">
        <f t="shared" ca="1" si="235"/>
        <v>0.52460122699386424</v>
      </c>
      <c r="DP221" s="15">
        <f t="shared" ca="1" si="263"/>
        <v>1.6039426523297491</v>
      </c>
      <c r="DQ221" s="15">
        <f t="shared" ca="1" si="264"/>
        <v>1.6726755218216318</v>
      </c>
      <c r="DR221" s="9"/>
      <c r="DS221" s="9"/>
      <c r="DT221" s="9"/>
      <c r="DU221" s="89">
        <v>3.9275925423933017E-2</v>
      </c>
      <c r="DV221" s="89">
        <f t="shared" ca="1" si="236"/>
        <v>3.9275925423933017E-2</v>
      </c>
      <c r="DW221" s="72" t="e">
        <f t="shared" ca="1" si="237"/>
        <v>#DIV/0!</v>
      </c>
      <c r="DX221" s="37"/>
      <c r="DY221" s="35">
        <f t="shared" si="247"/>
        <v>0</v>
      </c>
      <c r="DZ221" s="56"/>
      <c r="EA221" s="56"/>
      <c r="EC221" s="2" t="e" vm="223">
        <v>#VALUE!</v>
      </c>
      <c r="EE221" s="10" cm="1">
        <f t="array" aca="1" ref="EE221" ca="1">_FV(EC221,"Ações em circulação",TRUE)</f>
        <v>10000000</v>
      </c>
      <c r="EF221" s="18" t="e">
        <f>VLOOKUP(BP221,Fundamentus!A:U,5,FALSE)</f>
        <v>#N/A</v>
      </c>
      <c r="EG221" s="2" t="e">
        <f t="shared" ca="1" si="238"/>
        <v>#N/A</v>
      </c>
      <c r="EH221" s="17" t="e">
        <v>#N/A</v>
      </c>
      <c r="EI221" s="17" t="e">
        <f t="shared" ca="1" si="239"/>
        <v>#N/A</v>
      </c>
      <c r="EK221" s="16" t="e">
        <f t="shared" ca="1" si="226"/>
        <v>#N/A</v>
      </c>
      <c r="EL221" s="32" t="e">
        <f>IF(VLOOKUP(BP221,Fundamentus!A:U,3,FALSE)&lt;15,"Bom",IF(VLOOKUP(BP221,Fundamentus!A:U,3,FALSE)&gt;15,"Ruim","n/a"))</f>
        <v>#N/A</v>
      </c>
      <c r="EM221" s="28" t="e">
        <f>IF(VLOOKUP(BP221,Fundamentus!A:U,4,FALSE)&lt;1,"Baixo",IF(VLOOKUP(BP221,Fundamentus!A:U,4,FALSE)&lt;1.5,"Moderado",IF(VLOOKUP(BP221,Fundamentus!A:U,4,FALSE)&gt;1.5,"Alto","n/a")))</f>
        <v>#N/A</v>
      </c>
      <c r="EN221" s="17" t="e">
        <f>IF(VLOOKUP(BP221,Fundamentus!A:U,8,FALSE)&lt;0,"Risco elevado",IF(VLOOKUP(BP221,Fundamentus!A:U,8,FALSE)&lt;1,"Saudável",IF(VLOOKUP(BP221,Fundamentus!A:U,8,FALSE)&lt;3,"Estável",IF(VLOOKUP(BP221,Fundamentus!A:U,8,FALSE)&gt;3,"Alerta","n/a"))))</f>
        <v>#N/A</v>
      </c>
      <c r="EO221" s="28" t="e">
        <f t="shared" si="240"/>
        <v>#N/A</v>
      </c>
      <c r="EP221" s="17" t="e">
        <f>IF(VLOOKUP(BP221,Fundamentus!A:U,12,FALSE)&lt;2,"Subvalorizada",IF(VLOOKUP(BP221,Fundamentus!A:U,12,FALSE)&lt;6,"Muita barata",IF(VLOOKUP(BP221,Fundamentus!A:U,12,FALSE)&lt;6,"Barata",IF(VLOOKUP(BP221,Fundamentus!A:U,12,FALSE)&lt;8,"Atrativa",IF(VLOOKUP(BP221,Fundamentus!A:U,12,FALSE)&gt;8,"Supervalorizada","n/a")))))</f>
        <v>#N/A</v>
      </c>
      <c r="ER221" s="17" t="e">
        <f>IF(VLOOKUP(BP221,Fundamentus!A:U,17,FALSE)&lt;0.1,"Fraco retorno",IF(VLOOKUP(BP221,Fundamentus!A:U,17,FALSE)&gt;0.1,"Bom retorno","n/a"))</f>
        <v>#N/A</v>
      </c>
      <c r="ES221" s="17" t="e">
        <f>IF(VLOOKUP(BP221,Fundamentus!A:U,16,FALSE)&lt;0.1,"Ineficiente",IF(VLOOKUP(BP221,Fundamentus!A:U,16,FALSE)&gt;0.1,"Eficiente","n/a"))</f>
        <v>#N/A</v>
      </c>
      <c r="ET221" s="33" t="e">
        <f>IF(VLOOKUP(BP221,Fundamentus!A:U,16,FALSE)&lt;0.1,"Oper. Ineficiente",IF(VLOOKUP(BP221,Fundamentus!A:U,16,FALSE)&gt;0.1,"Oper.Eficiente","n/a"))</f>
        <v>#N/A</v>
      </c>
      <c r="EU221" s="34" t="e">
        <f>VLOOKUP(BP221,Fundamentus!A:U,14,FALSE)</f>
        <v>#N/A</v>
      </c>
      <c r="EV221" s="17" t="e">
        <f>IF(VLOOKUP(BP221,Fundamentus!A:U,21,FALSE)&lt;0,"Negativo",IF(VLOOKUP(BP221,Fundamentus!A:U,21,FALSE)&lt;0.05,"Fraco",IF(VLOOKUP(BP221,Fundamentus!A:U,21,FALSE)&lt;0.1,"Bom",IF(VLOOKUP(BP221,Fundamentus!A:U,21,FALSE)&gt;0.1,"Muito bom","n/a"))))</f>
        <v>#N/A</v>
      </c>
      <c r="EX221" s="29" t="e">
        <f>IF(VLOOKUP(BP221,Fundamentus!A:U,15,FALSE)&gt;1,"Bom",IF(VLOOKUP(BP221,Fundamentus!A:U,15,FALSE)&lt;1,"Ruim","n/a"))</f>
        <v>#N/A</v>
      </c>
      <c r="EY221" s="17" t="e">
        <f>IF(VLOOKUP(BP221,Fundamentus!A:U,20,FALSE)&lt;0.5,"Baixa",IF(VLOOKUP(BP221,Fundamentus!A:U,20,FALSE)&lt;1,"Moderada",IF(VLOOKUP(BP221,Fundamentus!A:U,20,FALSE)&lt;2,"Alerta",IF(VLOOKUP(BP221,Fundamentus!A:U,20,FALSE)&gt;2,"Alta","n/a"))))</f>
        <v>#N/A</v>
      </c>
    </row>
    <row r="222" spans="1:156" s="2" customFormat="1" ht="11.25" x14ac:dyDescent="0.2">
      <c r="A222" s="4">
        <v>2.2999999999999998</v>
      </c>
      <c r="B222" s="4">
        <v>2.17</v>
      </c>
      <c r="C222" s="4">
        <v>2.04</v>
      </c>
      <c r="D222" s="4">
        <v>1.95</v>
      </c>
      <c r="E222" s="4">
        <v>1.85</v>
      </c>
      <c r="F222" s="4">
        <v>1.8</v>
      </c>
      <c r="G222" s="4">
        <v>1.67</v>
      </c>
      <c r="H222" s="4">
        <v>1.74</v>
      </c>
      <c r="I222" s="4">
        <v>1.79</v>
      </c>
      <c r="J222" s="4">
        <v>1.87</v>
      </c>
      <c r="K222" s="4">
        <v>1.89</v>
      </c>
      <c r="L222" s="4">
        <v>1.67</v>
      </c>
      <c r="M222" s="4">
        <v>1.58</v>
      </c>
      <c r="N222" s="4">
        <v>1.5</v>
      </c>
      <c r="O222" s="4">
        <v>1.52</v>
      </c>
      <c r="P222" s="4">
        <v>1.34</v>
      </c>
      <c r="Q222" s="4">
        <v>1.43</v>
      </c>
      <c r="R222" s="4">
        <v>1.37</v>
      </c>
      <c r="S222" s="4">
        <v>1.39</v>
      </c>
      <c r="T222" s="4">
        <v>1.47</v>
      </c>
      <c r="U222" s="4">
        <v>1.32</v>
      </c>
      <c r="V222" s="4">
        <v>1.33</v>
      </c>
      <c r="W222" s="4">
        <v>1.26</v>
      </c>
      <c r="X222" s="4">
        <v>1.33</v>
      </c>
      <c r="Y222" s="4">
        <v>1.37</v>
      </c>
      <c r="Z222" s="4">
        <v>1.43</v>
      </c>
      <c r="AA222" s="4">
        <v>1.36</v>
      </c>
      <c r="AB222" s="4">
        <v>1.36</v>
      </c>
      <c r="AC222" s="4">
        <v>1.35</v>
      </c>
      <c r="AD222" s="4">
        <v>1.39</v>
      </c>
      <c r="AE222" s="4">
        <v>1.29</v>
      </c>
      <c r="AF222" s="4">
        <v>1.2</v>
      </c>
      <c r="AG222" s="4">
        <v>1.1200000000000001</v>
      </c>
      <c r="AH222" s="4">
        <v>1.07</v>
      </c>
      <c r="AI222" s="4">
        <v>1.06</v>
      </c>
      <c r="AJ222" s="4">
        <v>1.08</v>
      </c>
      <c r="AK222" s="4">
        <v>1.18</v>
      </c>
      <c r="AL222" s="4">
        <v>1.25</v>
      </c>
      <c r="AM222" s="4">
        <v>1.37</v>
      </c>
      <c r="AN222" s="4">
        <v>1.41</v>
      </c>
      <c r="AO222" s="4">
        <v>1.52</v>
      </c>
      <c r="AP222" s="4">
        <v>1.7</v>
      </c>
      <c r="AQ222" s="4">
        <v>1.7</v>
      </c>
      <c r="AR222" s="4">
        <v>1.52</v>
      </c>
      <c r="AS222" s="4">
        <v>1.65</v>
      </c>
      <c r="AT222" s="4">
        <v>1.75</v>
      </c>
      <c r="AU222" s="4">
        <v>1.875</v>
      </c>
      <c r="AV222" s="4">
        <v>2.12</v>
      </c>
      <c r="AW222" s="4">
        <v>2.06</v>
      </c>
      <c r="AX222" s="4">
        <v>2.25</v>
      </c>
      <c r="AY222" s="12">
        <v>2.4500000000000002</v>
      </c>
      <c r="AZ222" s="12">
        <v>2.5</v>
      </c>
      <c r="BA222" s="12">
        <v>2.58</v>
      </c>
      <c r="BB222" s="15">
        <v>3.03</v>
      </c>
      <c r="BC222" s="52">
        <v>3.11</v>
      </c>
      <c r="BD222" s="52">
        <v>2.9</v>
      </c>
      <c r="BE222" s="52">
        <v>2.97</v>
      </c>
      <c r="BF222" s="52">
        <v>2.91</v>
      </c>
      <c r="BG222" s="67">
        <v>2.79</v>
      </c>
      <c r="BH222" s="52">
        <v>2.82</v>
      </c>
      <c r="BI222" s="52">
        <v>2.79</v>
      </c>
      <c r="BJ222" s="52">
        <v>2.91</v>
      </c>
      <c r="BK222" s="52">
        <v>2.65</v>
      </c>
      <c r="BL222" s="52">
        <v>2.59</v>
      </c>
      <c r="BM222" s="52">
        <v>2.66</v>
      </c>
      <c r="BN222" s="52">
        <v>2.77</v>
      </c>
      <c r="BO222" s="52" cm="1">
        <f t="array" aca="1" ref="BO222" ca="1">_FV(EC222,"Preço")</f>
        <v>2.77</v>
      </c>
      <c r="BP222" s="69" t="s">
        <v>218</v>
      </c>
      <c r="BQ222" s="36" cm="1">
        <f t="array" aca="1" ref="BQ222" ca="1">_FV(EC222,"Média de volume",TRUE)</f>
        <v>25286480</v>
      </c>
      <c r="BR222" s="36">
        <v>19308600</v>
      </c>
      <c r="BS222" s="36" cm="1">
        <f t="array" aca="1" ref="BS222" ca="1">_FV(EC222,"Volume")</f>
        <v>19308600</v>
      </c>
      <c r="BT222" s="24" cm="1">
        <f t="array" aca="1" ref="BT222" ca="1">_FV(EC222,"Beta")</f>
        <v>1.8635999999999999</v>
      </c>
      <c r="BU222" s="71" cm="1">
        <f t="array" aca="1" ref="BU222" ca="1">_FV(EC222,"Variação (%)",TRUE)</f>
        <v>3.6229999999999999E-3</v>
      </c>
      <c r="BW222" s="17" cm="1">
        <f t="array" aca="1" ref="BW222" ca="1">_FV(EC222,"Baixo")</f>
        <v>2.74</v>
      </c>
      <c r="BX222" s="17" cm="1">
        <f t="array" aca="1" ref="BX222" ca="1">_FV(EC222,"Alto")</f>
        <v>2.8</v>
      </c>
      <c r="BY222" s="24"/>
      <c r="BZ222" s="63">
        <f ca="1">SQRT(22.5*(BO222/VLOOKUP(BP222,Fundamentus!A:U,3,FALSE))*(BO222/VLOOKUP(BP222,Fundamentus!A:U,4,FALSE)))</f>
        <v>9.2539205012176939</v>
      </c>
      <c r="CB222" s="62">
        <f t="shared" ca="1" si="241"/>
        <v>0</v>
      </c>
      <c r="CC222" s="8"/>
      <c r="CD222" s="61">
        <f t="shared" si="242"/>
        <v>1.06</v>
      </c>
      <c r="CE222" s="61">
        <f t="shared" si="243"/>
        <v>3.11</v>
      </c>
      <c r="CF222" s="61">
        <f t="shared" si="244"/>
        <v>1.8552272727272729</v>
      </c>
      <c r="CG222" s="14"/>
      <c r="CH222" s="35">
        <f t="shared" si="227"/>
        <v>2.548867295598336</v>
      </c>
      <c r="CI222" s="15">
        <f t="shared" si="245"/>
        <v>2.7749999999999773</v>
      </c>
      <c r="CJ222" s="35">
        <f t="shared" si="228"/>
        <v>3.0011327044016185</v>
      </c>
      <c r="CL222" s="14"/>
      <c r="CM222" s="17">
        <f t="shared" si="229"/>
        <v>-0.53333333333333366</v>
      </c>
      <c r="CN222" s="17">
        <f t="shared" si="230"/>
        <v>0.2633333333333332</v>
      </c>
      <c r="CO222" s="17">
        <f t="shared" si="231"/>
        <v>1.5166666666666662</v>
      </c>
      <c r="CP222" s="38">
        <f t="shared" si="246"/>
        <v>2.313333333333333</v>
      </c>
      <c r="CQ222" s="17">
        <f t="shared" si="232"/>
        <v>3.566666666666666</v>
      </c>
      <c r="CR222" s="17">
        <f t="shared" si="233"/>
        <v>4.3633333333333333</v>
      </c>
      <c r="CS222" s="17">
        <f t="shared" si="234"/>
        <v>5.6166666666666654</v>
      </c>
      <c r="CT222" s="2" cm="1">
        <f t="array" aca="1" ref="CT222" ca="1">MAX(_xlfn._xlws.FILTER(CM222:CS222,CM222:CS222&lt;BO222))</f>
        <v>2.313333333333333</v>
      </c>
      <c r="CU222" s="2" cm="1">
        <f t="array" aca="1" ref="CU222" ca="1">MIN(_xlfn._xlws.FILTER($CM222:$CS222,$CM222:$CS222&gt;BO222))</f>
        <v>3.566666666666666</v>
      </c>
      <c r="CV222" s="16">
        <f t="shared" ca="1" si="248"/>
        <v>0.5417867435158501</v>
      </c>
      <c r="CW222" s="20">
        <f t="shared" ca="1" si="249"/>
        <v>-0.27089337175792505</v>
      </c>
      <c r="CX222" s="20">
        <f t="shared" ca="1" si="250"/>
        <v>-0.18059558117195004</v>
      </c>
      <c r="CY222" s="20">
        <f t="shared" ca="1" si="251"/>
        <v>-0.10835734870317001</v>
      </c>
      <c r="CZ222" s="20">
        <f t="shared" ca="1" si="252"/>
        <v>-6.0198527057316681E-2</v>
      </c>
      <c r="DA222" s="20">
        <f t="shared" ca="1" si="253"/>
        <v>-3.1869808442108828E-2</v>
      </c>
      <c r="DB222" s="20">
        <f t="shared" ca="1" si="254"/>
        <v>-1.6417780106540911E-2</v>
      </c>
      <c r="DC222" s="20">
        <f t="shared" ca="1" si="255"/>
        <v>-8.3351806694746174E-3</v>
      </c>
      <c r="DD222" s="21">
        <f t="shared" ca="1" si="256"/>
        <v>8.3351806694746174E-3</v>
      </c>
      <c r="DE222" s="21">
        <f t="shared" ca="1" si="257"/>
        <v>1.6417780106540911E-2</v>
      </c>
      <c r="DF222" s="21">
        <f t="shared" ca="1" si="258"/>
        <v>3.1869808442108828E-2</v>
      </c>
      <c r="DG222" s="21">
        <f t="shared" ca="1" si="259"/>
        <v>6.0198527057316681E-2</v>
      </c>
      <c r="DH222" s="21">
        <f t="shared" ca="1" si="260"/>
        <v>0.10835734870317001</v>
      </c>
      <c r="DI222" s="21">
        <f t="shared" ca="1" si="261"/>
        <v>0.18059558117195004</v>
      </c>
      <c r="DJ222" s="21">
        <f t="shared" ca="1" si="262"/>
        <v>0.27089337175792505</v>
      </c>
      <c r="DL222" s="16" cm="1">
        <f t="array" aca="1" ref="DL222" ca="1">MAX(_xlfn._xlws.FILTER(CW222:DJ222,CW222:DJ222&lt;BU222))</f>
        <v>-8.3351806694746174E-3</v>
      </c>
      <c r="DM222" s="16" cm="1">
        <f t="array" aca="1" ref="DM222" ca="1">MIN(_xlfn._xlws.FILTER(CW222:DJ222,CW222:DJ222&gt;BU222))</f>
        <v>8.3351806694746174E-3</v>
      </c>
      <c r="DN222" s="2" cm="1">
        <f t="array" aca="1" ref="DN222" ca="1">_FV(EC222,"Fechamento anterior",TRUE)</f>
        <v>2.76</v>
      </c>
      <c r="DO222" s="28">
        <f t="shared" ca="1" si="235"/>
        <v>0.71734312365094588</v>
      </c>
      <c r="DP222" s="15">
        <f t="shared" ca="1" si="263"/>
        <v>2.7369949013522499</v>
      </c>
      <c r="DQ222" s="15">
        <f t="shared" ca="1" si="264"/>
        <v>2.7830050986477497</v>
      </c>
      <c r="DR222" s="9"/>
      <c r="DS222" s="9"/>
      <c r="DT222" s="9"/>
      <c r="DU222" s="89">
        <v>7.9005806816457684E-3</v>
      </c>
      <c r="DV222" s="89">
        <f t="shared" ca="1" si="236"/>
        <v>1.6670361338949235E-2</v>
      </c>
      <c r="DW222" s="72">
        <f t="shared" ca="1" si="237"/>
        <v>-2.2110910552312645E-2</v>
      </c>
      <c r="DX222" s="37"/>
      <c r="DY222" s="35">
        <f t="shared" si="247"/>
        <v>0.11306635220082063</v>
      </c>
      <c r="DZ222" s="56"/>
      <c r="EA222" s="56"/>
      <c r="EC222" s="2" t="e" vm="224">
        <v>#VALUE!</v>
      </c>
      <c r="EE222" s="10" cm="1">
        <f t="array" aca="1" ref="EE222" ca="1">_FV(EC222,"Ações em circulação",TRUE)</f>
        <v>1876606000</v>
      </c>
      <c r="EF222" s="18">
        <f>VLOOKUP(BP222,Fundamentus!A:U,5,FALSE)</f>
        <v>0.76200000000000001</v>
      </c>
      <c r="EG222" s="2">
        <f t="shared" ca="1" si="238"/>
        <v>6821782965.8792648</v>
      </c>
      <c r="EH222" s="17">
        <v>1143330825.0813649</v>
      </c>
      <c r="EI222" s="17">
        <f t="shared" ca="1" si="239"/>
        <v>1143330825.0813649</v>
      </c>
      <c r="EK222" s="16">
        <f t="shared" ca="1" si="226"/>
        <v>0</v>
      </c>
      <c r="EL222" s="32" t="str">
        <f>IF(VLOOKUP(BP222,Fundamentus!A:U,3,FALSE)&lt;15,"Bom",IF(VLOOKUP(BP222,Fundamentus!A:U,3,FALSE)&gt;15,"Ruim","n/a"))</f>
        <v>Bom</v>
      </c>
      <c r="EM222" s="28" t="str">
        <f>IF(VLOOKUP(BP222,Fundamentus!A:U,4,FALSE)&lt;1,"Baixo",IF(VLOOKUP(BP222,Fundamentus!A:U,4,FALSE)&lt;1.5,"Moderado",IF(VLOOKUP(BP222,Fundamentus!A:U,4,FALSE)&gt;1.5,"Alto","n/a")))</f>
        <v>Baixo</v>
      </c>
      <c r="EN222" s="17" t="str">
        <f>IF(VLOOKUP(BP222,Fundamentus!A:U,8,FALSE)&lt;0,"Risco elevado",IF(VLOOKUP(BP222,Fundamentus!A:U,8,FALSE)&lt;1,"Saudável",IF(VLOOKUP(BP222,Fundamentus!A:U,8,FALSE)&lt;3,"Estável",IF(VLOOKUP(BP222,Fundamentus!A:U,8,FALSE)&gt;3,"Alerta","n/a"))))</f>
        <v>Alerta</v>
      </c>
      <c r="EO222" s="28" t="str">
        <f t="shared" si="240"/>
        <v>Ruim</v>
      </c>
      <c r="EP222" s="17" t="str">
        <f>IF(VLOOKUP(BP222,Fundamentus!A:U,12,FALSE)&lt;2,"Subvalorizada",IF(VLOOKUP(BP222,Fundamentus!A:U,12,FALSE)&lt;6,"Muita barata",IF(VLOOKUP(BP222,Fundamentus!A:U,12,FALSE)&lt;6,"Barata",IF(VLOOKUP(BP222,Fundamentus!A:U,12,FALSE)&lt;8,"Atrativa",IF(VLOOKUP(BP222,Fundamentus!A:U,12,FALSE)&gt;8,"Supervalorizada","n/a")))))</f>
        <v>Muita barata</v>
      </c>
      <c r="ER222" s="17" t="str">
        <f>IF(VLOOKUP(BP222,Fundamentus!A:U,17,FALSE)&lt;0.1,"Fraco retorno",IF(VLOOKUP(BP222,Fundamentus!A:U,17,FALSE)&gt;0.1,"Bom retorno","n/a"))</f>
        <v>Fraco retorno</v>
      </c>
      <c r="ES222" s="17" t="str">
        <f>IF(VLOOKUP(BP222,Fundamentus!A:U,16,FALSE)&lt;0.1,"Ineficiente",IF(VLOOKUP(BP222,Fundamentus!A:U,16,FALSE)&gt;0.1,"Eficiente","n/a"))</f>
        <v>Ineficiente</v>
      </c>
      <c r="ET222" s="33" t="str">
        <f>IF(VLOOKUP(BP222,Fundamentus!A:U,16,FALSE)&lt;0.1,"Oper. Ineficiente",IF(VLOOKUP(BP222,Fundamentus!A:U,16,FALSE)&gt;0.1,"Oper.Eficiente","n/a"))</f>
        <v>Oper. Ineficiente</v>
      </c>
      <c r="EU222" s="34">
        <f>VLOOKUP(BP222,Fundamentus!A:U,14,FALSE)</f>
        <v>0.1676</v>
      </c>
      <c r="EV222" s="17" t="str">
        <f>IF(VLOOKUP(BP222,Fundamentus!A:U,21,FALSE)&lt;0,"Negativo",IF(VLOOKUP(BP222,Fundamentus!A:U,21,FALSE)&lt;0.05,"Fraco",IF(VLOOKUP(BP222,Fundamentus!A:U,21,FALSE)&lt;0.1,"Bom",IF(VLOOKUP(BP222,Fundamentus!A:U,21,FALSE)&gt;0.1,"Muito bom","n/a"))))</f>
        <v>Bom</v>
      </c>
      <c r="EX222" s="29" t="str">
        <f>IF(VLOOKUP(BP222,Fundamentus!A:U,15,FALSE)&gt;1,"Bom",IF(VLOOKUP(BP222,Fundamentus!A:U,15,FALSE)&lt;1,"Ruim","n/a"))</f>
        <v>Bom</v>
      </c>
      <c r="EY222" s="17" t="str">
        <f>IF(VLOOKUP(BP222,Fundamentus!A:U,20,FALSE)&lt;0.5,"Baixa",IF(VLOOKUP(BP222,Fundamentus!A:U,20,FALSE)&lt;1,"Moderada",IF(VLOOKUP(BP222,Fundamentus!A:U,20,FALSE)&lt;2,"Alerta",IF(VLOOKUP(BP222,Fundamentus!A:U,20,FALSE)&gt;2,"Alta","n/a"))))</f>
        <v>Moderada</v>
      </c>
    </row>
    <row r="223" spans="1:156" s="2" customFormat="1" ht="11.25" x14ac:dyDescent="0.2">
      <c r="A223" s="4">
        <v>1.88</v>
      </c>
      <c r="B223" s="4">
        <v>1.89</v>
      </c>
      <c r="C223" s="4">
        <v>1.8</v>
      </c>
      <c r="D223" s="4">
        <v>1.78</v>
      </c>
      <c r="E223" s="4">
        <v>1.72</v>
      </c>
      <c r="F223" s="4">
        <v>1.66</v>
      </c>
      <c r="G223" s="4">
        <v>1.56</v>
      </c>
      <c r="H223" s="4">
        <v>12.6</v>
      </c>
      <c r="I223" s="4">
        <v>13.46</v>
      </c>
      <c r="J223" s="4">
        <v>15.38</v>
      </c>
      <c r="K223" s="4">
        <v>15.05</v>
      </c>
      <c r="L223" s="4">
        <v>12.41</v>
      </c>
      <c r="M223" s="4">
        <v>12.78</v>
      </c>
      <c r="N223" s="4">
        <v>12.29</v>
      </c>
      <c r="O223" s="4">
        <v>12.26</v>
      </c>
      <c r="P223" s="4">
        <v>12.4</v>
      </c>
      <c r="Q223" s="4">
        <v>12.54</v>
      </c>
      <c r="R223" s="4">
        <v>12.05</v>
      </c>
      <c r="S223" s="4">
        <v>11.93</v>
      </c>
      <c r="T223" s="4">
        <v>11.32</v>
      </c>
      <c r="U223" s="4">
        <v>11.5</v>
      </c>
      <c r="V223" s="4">
        <v>11.35</v>
      </c>
      <c r="W223" s="4">
        <v>11.26</v>
      </c>
      <c r="X223" s="4">
        <v>11.08</v>
      </c>
      <c r="Y223" s="4">
        <v>9.9600000000000009</v>
      </c>
      <c r="Z223" s="4">
        <v>10.58</v>
      </c>
      <c r="AA223" s="4">
        <v>11.2</v>
      </c>
      <c r="AB223" s="4">
        <v>11.85</v>
      </c>
      <c r="AC223" s="4">
        <v>8.9499999999999993</v>
      </c>
      <c r="AD223" s="4">
        <v>10.4</v>
      </c>
      <c r="AE223" s="4">
        <v>10.53</v>
      </c>
      <c r="AF223" s="4">
        <v>10.199999999999999</v>
      </c>
      <c r="AG223" s="4">
        <v>9.15</v>
      </c>
      <c r="AH223" s="4">
        <v>8.75</v>
      </c>
      <c r="AI223" s="4">
        <v>9.35</v>
      </c>
      <c r="AJ223" s="4">
        <v>8.6999999999999993</v>
      </c>
      <c r="AK223" s="4">
        <v>8.61</v>
      </c>
      <c r="AL223" s="4">
        <v>8.8800000000000008</v>
      </c>
      <c r="AM223" s="4">
        <v>8.65</v>
      </c>
      <c r="AN223" s="4">
        <v>8.67</v>
      </c>
      <c r="AO223" s="4">
        <v>8.4</v>
      </c>
      <c r="AP223" s="4">
        <v>8.36</v>
      </c>
      <c r="AQ223" s="4">
        <v>8.31</v>
      </c>
      <c r="AR223" s="4">
        <v>8.26</v>
      </c>
      <c r="AS223" s="4">
        <v>8.25</v>
      </c>
      <c r="AT223" s="4">
        <v>8.2899999999999991</v>
      </c>
      <c r="AU223" s="4">
        <v>8.33</v>
      </c>
      <c r="AV223" s="4">
        <v>7.56</v>
      </c>
      <c r="AW223" s="4">
        <v>7.79</v>
      </c>
      <c r="AX223" s="4">
        <v>6.59</v>
      </c>
      <c r="AY223" s="12">
        <v>7.18</v>
      </c>
      <c r="AZ223" s="12">
        <v>7.3</v>
      </c>
      <c r="BA223" s="12">
        <v>7.18</v>
      </c>
      <c r="BB223" s="15">
        <v>7.06</v>
      </c>
      <c r="BC223" s="52">
        <v>7.92</v>
      </c>
      <c r="BD223" s="52">
        <v>8.31</v>
      </c>
      <c r="BE223" s="52">
        <v>8.3699999999999992</v>
      </c>
      <c r="BF223" s="52">
        <v>8.86</v>
      </c>
      <c r="BG223" s="67">
        <v>8.9</v>
      </c>
      <c r="BH223" s="52">
        <v>8.99</v>
      </c>
      <c r="BI223" s="52">
        <v>9.2200000000000006</v>
      </c>
      <c r="BJ223" s="52">
        <v>8.5299999999999994</v>
      </c>
      <c r="BK223" s="52">
        <v>8.56</v>
      </c>
      <c r="BL223" s="52">
        <v>8.5500000000000007</v>
      </c>
      <c r="BM223" s="52">
        <v>8.02</v>
      </c>
      <c r="BN223" s="52">
        <v>7.01</v>
      </c>
      <c r="BO223" s="52" cm="1">
        <f t="array" aca="1" ref="BO223" ca="1">_FV(EC223,"Preço")</f>
        <v>7.01</v>
      </c>
      <c r="BP223" s="70" t="s">
        <v>219</v>
      </c>
      <c r="BQ223" s="36" cm="1">
        <f t="array" aca="1" ref="BQ223" ca="1">_FV(EC223,"Média de volume",TRUE)</f>
        <v>16660</v>
      </c>
      <c r="BR223" s="36">
        <v>28800</v>
      </c>
      <c r="BS223" s="36" cm="1">
        <f t="array" aca="1" ref="BS223" ca="1">_FV(EC223,"Volume")</f>
        <v>28800</v>
      </c>
      <c r="BT223" s="24" cm="1">
        <f t="array" aca="1" ref="BT223" ca="1">_FV(EC223,"Beta")</f>
        <v>1.3711</v>
      </c>
      <c r="BU223" s="71" cm="1">
        <f t="array" aca="1" ref="BU223" ca="1">_FV(EC223,"Variação (%)",TRUE)</f>
        <v>-6.2834000000000001E-2</v>
      </c>
      <c r="BW223" s="17" cm="1">
        <f t="array" aca="1" ref="BW223" ca="1">_FV(EC223,"Baixo")</f>
        <v>6.85</v>
      </c>
      <c r="BX223" s="17" cm="1">
        <f t="array" aca="1" ref="BX223" ca="1">_FV(EC223,"Alto")</f>
        <v>7.85</v>
      </c>
      <c r="BY223" s="24"/>
      <c r="BZ223" s="63" t="e">
        <f ca="1">SQRT(22.5*(BO223/VLOOKUP(BP223,Fundamentus!A:U,3,FALSE))*(BO223/VLOOKUP(BP223,Fundamentus!A:U,4,FALSE)))</f>
        <v>#NUM!</v>
      </c>
      <c r="CB223" s="62">
        <f t="shared" ca="1" si="241"/>
        <v>0</v>
      </c>
      <c r="CC223" s="8"/>
      <c r="CD223" s="61">
        <f t="shared" si="242"/>
        <v>1.56</v>
      </c>
      <c r="CE223" s="61">
        <f t="shared" si="243"/>
        <v>15.38</v>
      </c>
      <c r="CF223" s="61">
        <f t="shared" si="244"/>
        <v>8.9163636363636325</v>
      </c>
      <c r="CG223" s="14"/>
      <c r="CH223" s="35">
        <f t="shared" si="227"/>
        <v>5.5441003386569072</v>
      </c>
      <c r="CI223" s="15">
        <f t="shared" si="245"/>
        <v>6.7399999999997817</v>
      </c>
      <c r="CJ223" s="35">
        <f t="shared" si="228"/>
        <v>7.9358996613426562</v>
      </c>
      <c r="CL223" s="14"/>
      <c r="CM223" s="17">
        <f t="shared" si="229"/>
        <v>-13.233333333333333</v>
      </c>
      <c r="CN223" s="17">
        <f t="shared" si="230"/>
        <v>-5.836666666666666</v>
      </c>
      <c r="CO223" s="17">
        <f t="shared" si="231"/>
        <v>0.58666666666666778</v>
      </c>
      <c r="CP223" s="38">
        <f t="shared" si="246"/>
        <v>7.9833333333333343</v>
      </c>
      <c r="CQ223" s="17">
        <f t="shared" si="232"/>
        <v>14.406666666666668</v>
      </c>
      <c r="CR223" s="17">
        <f t="shared" si="233"/>
        <v>21.803333333333335</v>
      </c>
      <c r="CS223" s="17">
        <f t="shared" si="234"/>
        <v>28.226666666666667</v>
      </c>
      <c r="CT223" s="2" cm="1">
        <f t="array" aca="1" ref="CT223" ca="1">MAX(_xlfn._xlws.FILTER(CM223:CS223,CM223:CS223&lt;BO223))</f>
        <v>0.58666666666666778</v>
      </c>
      <c r="CU223" s="2" cm="1">
        <f t="array" aca="1" ref="CU223" ca="1">MIN(_xlfn._xlws.FILTER($CM223:$CS223,$CM223:$CS223&gt;BO223))</f>
        <v>7.9833333333333343</v>
      </c>
      <c r="CV223" s="16">
        <f t="shared" ca="1" si="248"/>
        <v>12.607954545454522</v>
      </c>
      <c r="CW223" s="20">
        <f t="shared" ca="1" si="249"/>
        <v>-6.3039772727272609</v>
      </c>
      <c r="CX223" s="20">
        <f t="shared" ca="1" si="250"/>
        <v>-4.2026515151515076</v>
      </c>
      <c r="CY223" s="20">
        <f t="shared" ca="1" si="251"/>
        <v>-2.5215909090909046</v>
      </c>
      <c r="CZ223" s="20">
        <f t="shared" ca="1" si="252"/>
        <v>-1.4008838383838358</v>
      </c>
      <c r="DA223" s="20">
        <f t="shared" ca="1" si="253"/>
        <v>-0.74164438502673657</v>
      </c>
      <c r="DB223" s="20">
        <f t="shared" ca="1" si="254"/>
        <v>-0.38205922865013703</v>
      </c>
      <c r="DC223" s="20">
        <f t="shared" ca="1" si="255"/>
        <v>-0.1939685314685311</v>
      </c>
      <c r="DD223" s="21">
        <f t="shared" ca="1" si="256"/>
        <v>0.1939685314685311</v>
      </c>
      <c r="DE223" s="21">
        <f t="shared" ca="1" si="257"/>
        <v>0.38205922865013703</v>
      </c>
      <c r="DF223" s="21">
        <f t="shared" ca="1" si="258"/>
        <v>0.74164438502673657</v>
      </c>
      <c r="DG223" s="21">
        <f t="shared" ca="1" si="259"/>
        <v>1.4008838383838358</v>
      </c>
      <c r="DH223" s="21">
        <f t="shared" ca="1" si="260"/>
        <v>2.5215909090909046</v>
      </c>
      <c r="DI223" s="21">
        <f t="shared" ca="1" si="261"/>
        <v>4.2026515151515076</v>
      </c>
      <c r="DJ223" s="21">
        <f t="shared" ca="1" si="262"/>
        <v>6.3039772727272609</v>
      </c>
      <c r="DL223" s="16" cm="1">
        <f t="array" aca="1" ref="DL223" ca="1">MAX(_xlfn._xlws.FILTER(CW223:DJ223,CW223:DJ223&lt;BU223))</f>
        <v>-0.1939685314685311</v>
      </c>
      <c r="DM223" s="16" cm="1">
        <f t="array" aca="1" ref="DM223" ca="1">MIN(_xlfn._xlws.FILTER(CW223:DJ223,CW223:DJ223&gt;BU223))</f>
        <v>0.1939685314685311</v>
      </c>
      <c r="DN223" s="2" cm="1">
        <f t="array" aca="1" ref="DN223" ca="1">_FV(EC223,"Fechamento anterior",TRUE)</f>
        <v>7.48</v>
      </c>
      <c r="DO223" s="28">
        <f t="shared" ca="1" si="235"/>
        <v>0.33802984916363971</v>
      </c>
      <c r="DP223" s="15">
        <f t="shared" ca="1" si="263"/>
        <v>6.0291153846153875</v>
      </c>
      <c r="DQ223" s="15">
        <f t="shared" ca="1" si="264"/>
        <v>8.9308846153846133</v>
      </c>
      <c r="DR223" s="9"/>
      <c r="DS223" s="9"/>
      <c r="DT223" s="9"/>
      <c r="DU223" s="89">
        <v>0.13127781309599476</v>
      </c>
      <c r="DV223" s="89">
        <f t="shared" ca="1" si="236"/>
        <v>0.3879370629370622</v>
      </c>
      <c r="DW223" s="72">
        <f t="shared" ca="1" si="237"/>
        <v>0.22577144950190497</v>
      </c>
      <c r="DX223" s="37"/>
      <c r="DY223" s="35">
        <f t="shared" si="247"/>
        <v>0.59794983067143703</v>
      </c>
      <c r="DZ223" s="56"/>
      <c r="EA223" s="56"/>
      <c r="EC223" s="2" t="e" vm="225">
        <v>#VALUE!</v>
      </c>
      <c r="EE223" s="10" cm="1">
        <f t="array" aca="1" ref="EE223" ca="1">_FV(EC223,"Ações em circulação",TRUE)</f>
        <v>330121700</v>
      </c>
      <c r="EF223" s="18">
        <f>VLOOKUP(BP223,Fundamentus!A:U,5,FALSE)</f>
        <v>1.5960000000000001</v>
      </c>
      <c r="EG223" s="2">
        <f t="shared" ca="1" si="238"/>
        <v>1449970624.6867168</v>
      </c>
      <c r="EH223" s="17">
        <v>12287486064.782644</v>
      </c>
      <c r="EI223" s="17">
        <f t="shared" ca="1" si="239"/>
        <v>12287486064.782644</v>
      </c>
      <c r="EK223" s="16">
        <f t="shared" ca="1" si="226"/>
        <v>0</v>
      </c>
      <c r="EL223" s="32" t="str">
        <f>IF(VLOOKUP(BP223,Fundamentus!A:U,3,FALSE)&lt;15,"Bom",IF(VLOOKUP(BP223,Fundamentus!A:U,3,FALSE)&gt;15,"Ruim","n/a"))</f>
        <v>Bom</v>
      </c>
      <c r="EM223" s="28" t="str">
        <f>IF(VLOOKUP(BP223,Fundamentus!A:U,4,FALSE)&lt;1,"Baixo",IF(VLOOKUP(BP223,Fundamentus!A:U,4,FALSE)&lt;1.5,"Moderado",IF(VLOOKUP(BP223,Fundamentus!A:U,4,FALSE)&gt;1.5,"Alto","n/a")))</f>
        <v>Baixo</v>
      </c>
      <c r="EN223" s="17" t="str">
        <f>IF(VLOOKUP(BP223,Fundamentus!A:U,8,FALSE)&lt;0,"Risco elevado",IF(VLOOKUP(BP223,Fundamentus!A:U,8,FALSE)&lt;1,"Saudável",IF(VLOOKUP(BP223,Fundamentus!A:U,8,FALSE)&lt;3,"Estável",IF(VLOOKUP(BP223,Fundamentus!A:U,8,FALSE)&gt;3,"Alerta","n/a"))))</f>
        <v>Risco elevado</v>
      </c>
      <c r="EO223" s="28" t="str">
        <f t="shared" si="240"/>
        <v>Bom</v>
      </c>
      <c r="EP223" s="17" t="str">
        <f>IF(VLOOKUP(BP223,Fundamentus!A:U,12,FALSE)&lt;2,"Subvalorizada",IF(VLOOKUP(BP223,Fundamentus!A:U,12,FALSE)&lt;6,"Muita barata",IF(VLOOKUP(BP223,Fundamentus!A:U,12,FALSE)&lt;6,"Barata",IF(VLOOKUP(BP223,Fundamentus!A:U,12,FALSE)&lt;8,"Atrativa",IF(VLOOKUP(BP223,Fundamentus!A:U,12,FALSE)&gt;8,"Supervalorizada","n/a")))))</f>
        <v>Subvalorizada</v>
      </c>
      <c r="ER223" s="17" t="str">
        <f>IF(VLOOKUP(BP223,Fundamentus!A:U,17,FALSE)&lt;0.1,"Fraco retorno",IF(VLOOKUP(BP223,Fundamentus!A:U,17,FALSE)&gt;0.1,"Bom retorno","n/a"))</f>
        <v>Fraco retorno</v>
      </c>
      <c r="ES223" s="17" t="str">
        <f>IF(VLOOKUP(BP223,Fundamentus!A:U,16,FALSE)&lt;0.1,"Ineficiente",IF(VLOOKUP(BP223,Fundamentus!A:U,16,FALSE)&gt;0.1,"Eficiente","n/a"))</f>
        <v>Ineficiente</v>
      </c>
      <c r="ET223" s="33" t="str">
        <f>IF(VLOOKUP(BP223,Fundamentus!A:U,16,FALSE)&lt;0.1,"Oper. Ineficiente",IF(VLOOKUP(BP223,Fundamentus!A:U,16,FALSE)&gt;0.1,"Oper.Eficiente","n/a"))</f>
        <v>Oper. Ineficiente</v>
      </c>
      <c r="EU223" s="34">
        <f>VLOOKUP(BP223,Fundamentus!A:U,14,FALSE)</f>
        <v>8.4742999999999995</v>
      </c>
      <c r="EV223" s="17" t="str">
        <f>IF(VLOOKUP(BP223,Fundamentus!A:U,21,FALSE)&lt;0,"Negativo",IF(VLOOKUP(BP223,Fundamentus!A:U,21,FALSE)&lt;0.05,"Fraco",IF(VLOOKUP(BP223,Fundamentus!A:U,21,FALSE)&lt;0.1,"Bom",IF(VLOOKUP(BP223,Fundamentus!A:U,21,FALSE)&gt;0.1,"Muito bom","n/a"))))</f>
        <v>Negativo</v>
      </c>
      <c r="EX223" s="29" t="str">
        <f>IF(VLOOKUP(BP223,Fundamentus!A:U,15,FALSE)&gt;1,"Bom",IF(VLOOKUP(BP223,Fundamentus!A:U,15,FALSE)&lt;1,"Ruim","n/a"))</f>
        <v>Ruim</v>
      </c>
      <c r="EY223" s="17" t="str">
        <f>IF(VLOOKUP(BP223,Fundamentus!A:U,20,FALSE)&lt;0.5,"Baixa",IF(VLOOKUP(BP223,Fundamentus!A:U,20,FALSE)&lt;1,"Moderada",IF(VLOOKUP(BP223,Fundamentus!A:U,20,FALSE)&lt;2,"Alerta",IF(VLOOKUP(BP223,Fundamentus!A:U,20,FALSE)&gt;2,"Alta","n/a"))))</f>
        <v>Baixa</v>
      </c>
    </row>
    <row r="224" spans="1:156" s="2" customFormat="1" ht="11.25" x14ac:dyDescent="0.2">
      <c r="A224" s="4">
        <v>5.65</v>
      </c>
      <c r="B224" s="4">
        <v>5.48</v>
      </c>
      <c r="C224" s="4">
        <v>5.39</v>
      </c>
      <c r="D224" s="4">
        <v>5.21</v>
      </c>
      <c r="E224" s="4">
        <v>5.26</v>
      </c>
      <c r="F224" s="4">
        <v>5.3</v>
      </c>
      <c r="G224" s="4">
        <v>5.45</v>
      </c>
      <c r="H224" s="4">
        <v>5.82</v>
      </c>
      <c r="I224" s="4">
        <v>5.84</v>
      </c>
      <c r="J224" s="4">
        <v>5.97</v>
      </c>
      <c r="K224" s="4">
        <v>6.46</v>
      </c>
      <c r="L224" s="4">
        <v>6.15</v>
      </c>
      <c r="M224" s="4">
        <v>6.29</v>
      </c>
      <c r="N224" s="4">
        <v>6.23</v>
      </c>
      <c r="O224" s="4">
        <v>6.11</v>
      </c>
      <c r="P224" s="4">
        <v>6.05</v>
      </c>
      <c r="Q224" s="4">
        <v>6.37</v>
      </c>
      <c r="R224" s="4">
        <v>6.19</v>
      </c>
      <c r="S224" s="4">
        <v>6.2</v>
      </c>
      <c r="T224" s="4">
        <v>6.28</v>
      </c>
      <c r="U224" s="4">
        <v>5.61</v>
      </c>
      <c r="V224" s="4">
        <v>5.7</v>
      </c>
      <c r="W224" s="4">
        <v>5.68</v>
      </c>
      <c r="X224" s="4">
        <v>5.72</v>
      </c>
      <c r="Y224" s="4">
        <v>5.53</v>
      </c>
      <c r="Z224" s="4">
        <v>5.44</v>
      </c>
      <c r="AA224" s="4">
        <v>5.49</v>
      </c>
      <c r="AB224" s="4">
        <v>5.4</v>
      </c>
      <c r="AC224" s="4">
        <v>5.84</v>
      </c>
      <c r="AD224" s="4">
        <v>5.58</v>
      </c>
      <c r="AE224" s="4">
        <v>5.31</v>
      </c>
      <c r="AF224" s="4">
        <v>5.45</v>
      </c>
      <c r="AG224" s="4">
        <v>5.03</v>
      </c>
      <c r="AH224" s="4">
        <v>5.07</v>
      </c>
      <c r="AI224" s="4">
        <v>5.25</v>
      </c>
      <c r="AJ224" s="4">
        <v>5.14</v>
      </c>
      <c r="AK224" s="4">
        <v>5.18</v>
      </c>
      <c r="AL224" s="4">
        <v>5.17</v>
      </c>
      <c r="AM224" s="4">
        <v>5.09</v>
      </c>
      <c r="AN224" s="4">
        <v>5.58</v>
      </c>
      <c r="AO224" s="4">
        <v>5.25</v>
      </c>
      <c r="AP224" s="4">
        <v>5.4</v>
      </c>
      <c r="AQ224" s="4">
        <v>5.46</v>
      </c>
      <c r="AR224" s="4">
        <v>5.35</v>
      </c>
      <c r="AS224" s="4">
        <v>5.25</v>
      </c>
      <c r="AT224" s="4">
        <v>5.3</v>
      </c>
      <c r="AU224" s="4">
        <v>5.2</v>
      </c>
      <c r="AV224" s="4">
        <v>5.35</v>
      </c>
      <c r="AW224" s="4">
        <v>5.31</v>
      </c>
      <c r="AX224" s="4">
        <v>4.95</v>
      </c>
      <c r="AY224" s="12">
        <v>4.9000000000000004</v>
      </c>
      <c r="AZ224" s="12">
        <v>5.01</v>
      </c>
      <c r="BA224" s="12">
        <v>5.2</v>
      </c>
      <c r="BB224" s="15">
        <v>5.2</v>
      </c>
      <c r="BC224" s="52">
        <v>5</v>
      </c>
      <c r="BD224" s="52">
        <v>4.8</v>
      </c>
      <c r="BE224" s="52">
        <v>4.62</v>
      </c>
      <c r="BF224" s="52">
        <v>4.5599999999999996</v>
      </c>
      <c r="BG224" s="67">
        <v>4.49</v>
      </c>
      <c r="BH224" s="52">
        <v>4.3499999999999996</v>
      </c>
      <c r="BI224" s="52">
        <v>4.8099999999999996</v>
      </c>
      <c r="BJ224" s="52">
        <v>4.95</v>
      </c>
      <c r="BK224" s="52">
        <v>4.96</v>
      </c>
      <c r="BL224" s="52">
        <v>4.97</v>
      </c>
      <c r="BM224" s="52">
        <v>4.96</v>
      </c>
      <c r="BN224" s="52">
        <v>4.75</v>
      </c>
      <c r="BO224" s="52" cm="1">
        <f t="array" aca="1" ref="BO224" ca="1">_FV(EC224,"Preço")</f>
        <v>4.75</v>
      </c>
      <c r="BP224" s="69" t="s">
        <v>220</v>
      </c>
      <c r="BQ224" s="36" cm="1">
        <f t="array" aca="1" ref="BQ224" ca="1">_FV(EC224,"Média de volume",TRUE)</f>
        <v>159810</v>
      </c>
      <c r="BR224" s="36">
        <v>105600</v>
      </c>
      <c r="BS224" s="36" cm="1">
        <f t="array" aca="1" ref="BS224" ca="1">_FV(EC224,"Volume")</f>
        <v>105600</v>
      </c>
      <c r="BT224" s="24" cm="1">
        <f t="array" aca="1" ref="BT224" ca="1">_FV(EC224,"Beta")</f>
        <v>1.0077</v>
      </c>
      <c r="BU224" s="71" cm="1">
        <f t="array" aca="1" ref="BU224" ca="1">_FV(EC224,"Variação (%)",TRUE)</f>
        <v>-2.8629999999999999E-2</v>
      </c>
      <c r="BW224" s="17" cm="1">
        <f t="array" aca="1" ref="BW224" ca="1">_FV(EC224,"Baixo")</f>
        <v>4.74</v>
      </c>
      <c r="BX224" s="17" cm="1">
        <f t="array" aca="1" ref="BX224" ca="1">_FV(EC224,"Alto")</f>
        <v>4.96</v>
      </c>
      <c r="BY224" s="24"/>
      <c r="BZ224" s="63">
        <f ca="1">SQRT(22.5*(BO224/VLOOKUP(BP224,Fundamentus!A:U,3,FALSE))*(BO224/VLOOKUP(BP224,Fundamentus!A:U,4,FALSE)))</f>
        <v>6.6540853838839853</v>
      </c>
      <c r="CB224" s="62">
        <f t="shared" ca="1" si="241"/>
        <v>0</v>
      </c>
      <c r="CC224" s="8"/>
      <c r="CD224" s="61">
        <f t="shared" si="242"/>
        <v>4.3499999999999996</v>
      </c>
      <c r="CE224" s="61">
        <f t="shared" si="243"/>
        <v>6.46</v>
      </c>
      <c r="CF224" s="61">
        <f t="shared" si="244"/>
        <v>5.3986363636363635</v>
      </c>
      <c r="CG224" s="14"/>
      <c r="CH224" s="35">
        <f t="shared" si="227"/>
        <v>4.5815244824908357</v>
      </c>
      <c r="CI224" s="15">
        <f t="shared" si="245"/>
        <v>4.7500000000000568</v>
      </c>
      <c r="CJ224" s="35">
        <f t="shared" si="228"/>
        <v>4.918475517509278</v>
      </c>
      <c r="CL224" s="14"/>
      <c r="CM224" s="17">
        <f t="shared" si="229"/>
        <v>1.8033333333333328</v>
      </c>
      <c r="CN224" s="17">
        <f t="shared" si="230"/>
        <v>3.0766666666666662</v>
      </c>
      <c r="CO224" s="17">
        <f t="shared" si="231"/>
        <v>3.9133333333333331</v>
      </c>
      <c r="CP224" s="38">
        <f t="shared" si="246"/>
        <v>5.1866666666666665</v>
      </c>
      <c r="CQ224" s="17">
        <f t="shared" si="232"/>
        <v>6.0233333333333334</v>
      </c>
      <c r="CR224" s="17">
        <f t="shared" si="233"/>
        <v>7.2966666666666669</v>
      </c>
      <c r="CS224" s="17">
        <f t="shared" si="234"/>
        <v>8.1333333333333329</v>
      </c>
      <c r="CT224" s="2" cm="1">
        <f t="array" aca="1" ref="CT224" ca="1">MAX(_xlfn._xlws.FILTER(CM224:CS224,CM224:CS224&lt;BO224))</f>
        <v>3.9133333333333331</v>
      </c>
      <c r="CU224" s="2" cm="1">
        <f t="array" aca="1" ref="CU224" ca="1">MIN(_xlfn._xlws.FILTER($CM224:$CS224,$CM224:$CS224&gt;BO224))</f>
        <v>5.1866666666666665</v>
      </c>
      <c r="CV224" s="16">
        <f t="shared" ca="1" si="248"/>
        <v>0.32538330494037493</v>
      </c>
      <c r="CW224" s="20">
        <f t="shared" ca="1" si="249"/>
        <v>-0.16269165247018746</v>
      </c>
      <c r="CX224" s="20">
        <f t="shared" ca="1" si="250"/>
        <v>-0.10846110164679164</v>
      </c>
      <c r="CY224" s="20">
        <f t="shared" ca="1" si="251"/>
        <v>-6.5076660988074991E-2</v>
      </c>
      <c r="CZ224" s="20">
        <f t="shared" ca="1" si="252"/>
        <v>-3.6153700548930551E-2</v>
      </c>
      <c r="DA224" s="20">
        <f t="shared" ca="1" si="253"/>
        <v>-1.9140194408257347E-2</v>
      </c>
      <c r="DB224" s="20">
        <f t="shared" ca="1" si="254"/>
        <v>-9.8601001497083309E-3</v>
      </c>
      <c r="DC224" s="20">
        <f t="shared" ca="1" si="255"/>
        <v>-5.0058969990826908E-3</v>
      </c>
      <c r="DD224" s="21">
        <f t="shared" ca="1" si="256"/>
        <v>5.0058969990826908E-3</v>
      </c>
      <c r="DE224" s="21">
        <f t="shared" ca="1" si="257"/>
        <v>9.8601001497083309E-3</v>
      </c>
      <c r="DF224" s="21">
        <f t="shared" ca="1" si="258"/>
        <v>1.9140194408257347E-2</v>
      </c>
      <c r="DG224" s="21">
        <f t="shared" ca="1" si="259"/>
        <v>3.6153700548930551E-2</v>
      </c>
      <c r="DH224" s="21">
        <f t="shared" ca="1" si="260"/>
        <v>6.5076660988074991E-2</v>
      </c>
      <c r="DI224" s="21">
        <f t="shared" ca="1" si="261"/>
        <v>0.10846110164679164</v>
      </c>
      <c r="DJ224" s="21">
        <f t="shared" ca="1" si="262"/>
        <v>0.16269165247018746</v>
      </c>
      <c r="DL224" s="16" cm="1">
        <f t="array" aca="1" ref="DL224" ca="1">MAX(_xlfn._xlws.FILTER(CW224:DJ224,CW224:DJ224&lt;BU224))</f>
        <v>-3.6153700548930551E-2</v>
      </c>
      <c r="DM224" s="16" cm="1">
        <f t="array" aca="1" ref="DM224" ca="1">MIN(_xlfn._xlws.FILTER(CW224:DJ224,CW224:DJ224&gt;BU224))</f>
        <v>-1.9140194408257347E-2</v>
      </c>
      <c r="DN224" s="2" cm="1">
        <f t="array" aca="1" ref="DN224" ca="1">_FV(EC224,"Fechamento anterior",TRUE)</f>
        <v>4.8899999999999997</v>
      </c>
      <c r="DO224" s="28">
        <f t="shared" ca="1" si="235"/>
        <v>0.44222770051071947</v>
      </c>
      <c r="DP224" s="15">
        <f t="shared" ca="1" si="263"/>
        <v>4.7132084043157292</v>
      </c>
      <c r="DQ224" s="15">
        <f t="shared" ca="1" si="264"/>
        <v>4.7964044493436209</v>
      </c>
      <c r="DR224" s="9"/>
      <c r="DS224" s="9"/>
      <c r="DT224" s="9"/>
      <c r="DU224" s="89">
        <v>9.0943539219401452E-3</v>
      </c>
      <c r="DV224" s="89">
        <f t="shared" ca="1" si="236"/>
        <v>1.7013506140673203E-2</v>
      </c>
      <c r="DW224" s="72">
        <f t="shared" ca="1" si="237"/>
        <v>-3.3739868973957475E-13</v>
      </c>
      <c r="DX224" s="37"/>
      <c r="DY224" s="35">
        <f t="shared" si="247"/>
        <v>8.4237758754610731E-2</v>
      </c>
      <c r="DZ224" s="56"/>
      <c r="EA224" s="56"/>
      <c r="EC224" s="2" t="e" vm="226">
        <v>#VALUE!</v>
      </c>
      <c r="EE224" s="10" cm="1">
        <f t="array" aca="1" ref="EE224" ca="1">_FV(EC224,"Ações em circulação",TRUE)</f>
        <v>150314000</v>
      </c>
      <c r="EF224" s="18">
        <f>VLOOKUP(BP224,Fundamentus!A:U,5,FALSE)</f>
        <v>0.90400000000000003</v>
      </c>
      <c r="EG224" s="2">
        <f t="shared" ca="1" si="238"/>
        <v>789813606.19469023</v>
      </c>
      <c r="EH224" s="17">
        <v>71399149.999999985</v>
      </c>
      <c r="EI224" s="17">
        <f t="shared" ca="1" si="239"/>
        <v>71399149.999999985</v>
      </c>
      <c r="EK224" s="16">
        <f t="shared" ca="1" si="226"/>
        <v>0</v>
      </c>
      <c r="EL224" s="32" t="str">
        <f>IF(VLOOKUP(BP224,Fundamentus!A:U,3,FALSE)&lt;15,"Bom",IF(VLOOKUP(BP224,Fundamentus!A:U,3,FALSE)&gt;15,"Ruim","n/a"))</f>
        <v>Bom</v>
      </c>
      <c r="EM224" s="28" t="str">
        <f>IF(VLOOKUP(BP224,Fundamentus!A:U,4,FALSE)&lt;1,"Baixo",IF(VLOOKUP(BP224,Fundamentus!A:U,4,FALSE)&lt;1.5,"Moderado",IF(VLOOKUP(BP224,Fundamentus!A:U,4,FALSE)&gt;1.5,"Alto","n/a")))</f>
        <v>Moderado</v>
      </c>
      <c r="EN224" s="17" t="str">
        <f>IF(VLOOKUP(BP224,Fundamentus!A:U,8,FALSE)&lt;0,"Risco elevado",IF(VLOOKUP(BP224,Fundamentus!A:U,8,FALSE)&lt;1,"Saudável",IF(VLOOKUP(BP224,Fundamentus!A:U,8,FALSE)&lt;3,"Estável",IF(VLOOKUP(BP224,Fundamentus!A:U,8,FALSE)&gt;3,"Alerta","n/a"))))</f>
        <v>Estável</v>
      </c>
      <c r="EO224" s="28" t="str">
        <f t="shared" si="240"/>
        <v>Ruim</v>
      </c>
      <c r="EP224" s="17" t="str">
        <f>IF(VLOOKUP(BP224,Fundamentus!A:U,12,FALSE)&lt;2,"Subvalorizada",IF(VLOOKUP(BP224,Fundamentus!A:U,12,FALSE)&lt;6,"Muita barata",IF(VLOOKUP(BP224,Fundamentus!A:U,12,FALSE)&lt;6,"Barata",IF(VLOOKUP(BP224,Fundamentus!A:U,12,FALSE)&lt;8,"Atrativa",IF(VLOOKUP(BP224,Fundamentus!A:U,12,FALSE)&gt;8,"Supervalorizada","n/a")))))</f>
        <v>Supervalorizada</v>
      </c>
      <c r="ER224" s="17" t="str">
        <f>IF(VLOOKUP(BP224,Fundamentus!A:U,17,FALSE)&lt;0.1,"Fraco retorno",IF(VLOOKUP(BP224,Fundamentus!A:U,17,FALSE)&gt;0.1,"Bom retorno","n/a"))</f>
        <v>Bom retorno</v>
      </c>
      <c r="ES224" s="17" t="str">
        <f>IF(VLOOKUP(BP224,Fundamentus!A:U,16,FALSE)&lt;0.1,"Ineficiente",IF(VLOOKUP(BP224,Fundamentus!A:U,16,FALSE)&gt;0.1,"Eficiente","n/a"))</f>
        <v>Ineficiente</v>
      </c>
      <c r="ET224" s="33" t="str">
        <f>IF(VLOOKUP(BP224,Fundamentus!A:U,16,FALSE)&lt;0.1,"Oper. Ineficiente",IF(VLOOKUP(BP224,Fundamentus!A:U,16,FALSE)&gt;0.1,"Oper.Eficiente","n/a"))</f>
        <v>Oper. Ineficiente</v>
      </c>
      <c r="EU224" s="34">
        <f>VLOOKUP(BP224,Fundamentus!A:U,14,FALSE)</f>
        <v>9.0399999999999994E-2</v>
      </c>
      <c r="EV224" s="17" t="str">
        <f>IF(VLOOKUP(BP224,Fundamentus!A:U,21,FALSE)&lt;0,"Negativo",IF(VLOOKUP(BP224,Fundamentus!A:U,21,FALSE)&lt;0.05,"Fraco",IF(VLOOKUP(BP224,Fundamentus!A:U,21,FALSE)&lt;0.1,"Bom",IF(VLOOKUP(BP224,Fundamentus!A:U,21,FALSE)&gt;0.1,"Muito bom","n/a"))))</f>
        <v>Bom</v>
      </c>
      <c r="EX224" s="29" t="str">
        <f>IF(VLOOKUP(BP224,Fundamentus!A:U,15,FALSE)&gt;1,"Bom",IF(VLOOKUP(BP224,Fundamentus!A:U,15,FALSE)&lt;1,"Ruim","n/a"))</f>
        <v>Bom</v>
      </c>
      <c r="EY224" s="17" t="str">
        <f>IF(VLOOKUP(BP224,Fundamentus!A:U,20,FALSE)&lt;0.5,"Baixa",IF(VLOOKUP(BP224,Fundamentus!A:U,20,FALSE)&lt;1,"Moderada",IF(VLOOKUP(BP224,Fundamentus!A:U,20,FALSE)&lt;2,"Alerta",IF(VLOOKUP(BP224,Fundamentus!A:U,20,FALSE)&gt;2,"Alta","n/a"))))</f>
        <v>Baixa</v>
      </c>
    </row>
    <row r="225" spans="1:155" s="2" customFormat="1" ht="11.25" x14ac:dyDescent="0.2">
      <c r="A225" s="4">
        <v>6.04</v>
      </c>
      <c r="B225" s="4">
        <v>6.05</v>
      </c>
      <c r="C225" s="4">
        <v>4.8</v>
      </c>
      <c r="D225" s="4">
        <v>4.47</v>
      </c>
      <c r="E225" s="4">
        <v>4.18</v>
      </c>
      <c r="F225" s="4">
        <v>4.12</v>
      </c>
      <c r="G225" s="4">
        <v>4.0199999999999996</v>
      </c>
      <c r="H225" s="4">
        <v>4.1500000000000004</v>
      </c>
      <c r="I225" s="4">
        <v>4.62</v>
      </c>
      <c r="J225" s="4">
        <v>4.91</v>
      </c>
      <c r="K225" s="4">
        <v>5.08</v>
      </c>
      <c r="L225" s="4">
        <v>4.7699999999999996</v>
      </c>
      <c r="M225" s="4">
        <v>4.93</v>
      </c>
      <c r="N225" s="4">
        <v>4.3499999999999996</v>
      </c>
      <c r="O225" s="4">
        <v>4.9400000000000004</v>
      </c>
      <c r="P225" s="4">
        <v>4.62</v>
      </c>
      <c r="Q225" s="4">
        <v>5.29</v>
      </c>
      <c r="R225" s="4">
        <v>4.8899999999999997</v>
      </c>
      <c r="S225" s="4">
        <v>4.91</v>
      </c>
      <c r="T225" s="4">
        <v>5.08</v>
      </c>
      <c r="U225" s="4">
        <v>4.75</v>
      </c>
      <c r="V225" s="4">
        <v>4.6399999999999997</v>
      </c>
      <c r="W225" s="4">
        <v>4.6500000000000004</v>
      </c>
      <c r="X225" s="4">
        <v>4.63</v>
      </c>
      <c r="Y225" s="4">
        <v>4.5199999999999996</v>
      </c>
      <c r="Z225" s="4">
        <v>4.28</v>
      </c>
      <c r="AA225" s="4">
        <v>4</v>
      </c>
      <c r="AB225" s="4">
        <v>4.04</v>
      </c>
      <c r="AC225" s="4">
        <v>4.08</v>
      </c>
      <c r="AD225" s="4">
        <v>4.2699999999999996</v>
      </c>
      <c r="AE225" s="4">
        <v>4.17</v>
      </c>
      <c r="AF225" s="4">
        <v>3.85</v>
      </c>
      <c r="AG225" s="4">
        <v>3.91</v>
      </c>
      <c r="AH225" s="4">
        <v>3.74</v>
      </c>
      <c r="AI225" s="4">
        <v>3.56</v>
      </c>
      <c r="AJ225" s="4">
        <v>3.36</v>
      </c>
      <c r="AK225" s="4">
        <v>3.4</v>
      </c>
      <c r="AL225" s="4">
        <v>3.53</v>
      </c>
      <c r="AM225" s="4">
        <v>3.42</v>
      </c>
      <c r="AN225" s="4">
        <v>3.66</v>
      </c>
      <c r="AO225" s="4">
        <v>3.53</v>
      </c>
      <c r="AP225" s="4">
        <v>3.69</v>
      </c>
      <c r="AQ225" s="4">
        <v>3.99</v>
      </c>
      <c r="AR225" s="4">
        <v>3.56</v>
      </c>
      <c r="AS225" s="4">
        <v>3.7</v>
      </c>
      <c r="AT225" s="4">
        <v>3.5</v>
      </c>
      <c r="AU225" s="4">
        <v>3.54</v>
      </c>
      <c r="AV225" s="4">
        <v>3.62</v>
      </c>
      <c r="AW225" s="4">
        <v>3.67</v>
      </c>
      <c r="AX225" s="4">
        <v>3.72</v>
      </c>
      <c r="AY225" s="12">
        <v>4.25</v>
      </c>
      <c r="AZ225" s="12">
        <v>4.3499999999999996</v>
      </c>
      <c r="BA225" s="12">
        <v>4.2300000000000004</v>
      </c>
      <c r="BB225" s="15">
        <v>4.08</v>
      </c>
      <c r="BC225" s="52">
        <v>4.17</v>
      </c>
      <c r="BD225" s="52">
        <v>5</v>
      </c>
      <c r="BE225" s="52">
        <v>5.15</v>
      </c>
      <c r="BF225" s="52">
        <v>4.7699999999999996</v>
      </c>
      <c r="BG225" s="67">
        <v>5.26</v>
      </c>
      <c r="BH225" s="52">
        <v>4.79</v>
      </c>
      <c r="BI225" s="52">
        <v>4.6500000000000004</v>
      </c>
      <c r="BJ225" s="52">
        <v>4.6399999999999997</v>
      </c>
      <c r="BK225" s="52">
        <v>4.24</v>
      </c>
      <c r="BL225" s="52">
        <v>3.95</v>
      </c>
      <c r="BM225" s="52">
        <v>3.9</v>
      </c>
      <c r="BN225" s="52">
        <v>4.0599999999999996</v>
      </c>
      <c r="BO225" s="52" cm="1">
        <f t="array" aca="1" ref="BO225" ca="1">_FV(EC225,"Preço")</f>
        <v>4.0599999999999996</v>
      </c>
      <c r="BP225" s="69" t="s">
        <v>221</v>
      </c>
      <c r="BQ225" s="36" cm="1">
        <f t="array" aca="1" ref="BQ225" ca="1">_FV(EC225,"Média de volume",TRUE)</f>
        <v>228300</v>
      </c>
      <c r="BR225" s="36">
        <v>233800</v>
      </c>
      <c r="BS225" s="36" cm="1">
        <f t="array" aca="1" ref="BS225" ca="1">_FV(EC225,"Volume")</f>
        <v>233800</v>
      </c>
      <c r="BT225" s="24" cm="1">
        <f t="array" aca="1" ref="BT225" ca="1">_FV(EC225,"Beta")</f>
        <v>1.7806</v>
      </c>
      <c r="BU225" s="71" cm="1">
        <f t="array" aca="1" ref="BU225" ca="1">_FV(EC225,"Variação (%)",TRUE)</f>
        <v>2.4690000000000003E-3</v>
      </c>
      <c r="BW225" s="17" cm="1">
        <f t="array" aca="1" ref="BW225" ca="1">_FV(EC225,"Baixo")</f>
        <v>4.01</v>
      </c>
      <c r="BX225" s="17" cm="1">
        <f t="array" aca="1" ref="BX225" ca="1">_FV(EC225,"Alto")</f>
        <v>4.24</v>
      </c>
      <c r="BY225" s="24"/>
      <c r="BZ225" s="63" t="e">
        <f ca="1">SQRT(22.5*(BO225/VLOOKUP(BP225,Fundamentus!A:U,3,FALSE))*(BO225/VLOOKUP(BP225,Fundamentus!A:U,4,FALSE)))</f>
        <v>#NUM!</v>
      </c>
      <c r="CB225" s="62">
        <f t="shared" ca="1" si="241"/>
        <v>0</v>
      </c>
      <c r="CC225" s="8"/>
      <c r="CD225" s="61">
        <f t="shared" si="242"/>
        <v>3.36</v>
      </c>
      <c r="CE225" s="61">
        <f t="shared" si="243"/>
        <v>6.05</v>
      </c>
      <c r="CF225" s="61">
        <f t="shared" si="244"/>
        <v>4.3134848484848476</v>
      </c>
      <c r="CG225" s="14"/>
      <c r="CH225" s="35">
        <f t="shared" si="227"/>
        <v>3.3544778249222404</v>
      </c>
      <c r="CI225" s="15">
        <f t="shared" si="245"/>
        <v>3.8899999999999864</v>
      </c>
      <c r="CJ225" s="35">
        <f t="shared" si="228"/>
        <v>4.4255221750777318</v>
      </c>
      <c r="CL225" s="14"/>
      <c r="CM225" s="17">
        <f t="shared" si="229"/>
        <v>0.23999999999999888</v>
      </c>
      <c r="CN225" s="17">
        <f t="shared" si="230"/>
        <v>1.7999999999999994</v>
      </c>
      <c r="CO225" s="17">
        <f t="shared" si="231"/>
        <v>2.9299999999999988</v>
      </c>
      <c r="CP225" s="38">
        <f t="shared" si="246"/>
        <v>4.4899999999999993</v>
      </c>
      <c r="CQ225" s="17">
        <f t="shared" si="232"/>
        <v>5.6199999999999992</v>
      </c>
      <c r="CR225" s="17">
        <f t="shared" si="233"/>
        <v>7.18</v>
      </c>
      <c r="CS225" s="17">
        <f t="shared" si="234"/>
        <v>8.3099999999999987</v>
      </c>
      <c r="CT225" s="2" cm="1">
        <f t="array" aca="1" ref="CT225" ca="1">MAX(_xlfn._xlws.FILTER(CM225:CS225,CM225:CS225&lt;BO225))</f>
        <v>2.9299999999999988</v>
      </c>
      <c r="CU225" s="2" cm="1">
        <f t="array" aca="1" ref="CU225" ca="1">MIN(_xlfn._xlws.FILTER($CM225:$CS225,$CM225:$CS225&gt;BO225))</f>
        <v>4.4899999999999993</v>
      </c>
      <c r="CV225" s="16">
        <f t="shared" ca="1" si="248"/>
        <v>0.53242320819112665</v>
      </c>
      <c r="CW225" s="20">
        <f t="shared" ca="1" si="249"/>
        <v>-0.26621160409556333</v>
      </c>
      <c r="CX225" s="20">
        <f t="shared" ca="1" si="250"/>
        <v>-0.17747440273037554</v>
      </c>
      <c r="CY225" s="20">
        <f t="shared" ca="1" si="251"/>
        <v>-0.10648464163822532</v>
      </c>
      <c r="CZ225" s="20">
        <f t="shared" ca="1" si="252"/>
        <v>-5.9158134243458518E-2</v>
      </c>
      <c r="DA225" s="20">
        <f t="shared" ca="1" si="253"/>
        <v>-3.1319012246536861E-2</v>
      </c>
      <c r="DB225" s="20">
        <f t="shared" ca="1" si="254"/>
        <v>-1.6134036611852323E-2</v>
      </c>
      <c r="DC225" s="20">
        <f t="shared" ca="1" si="255"/>
        <v>-8.1911262798634865E-3</v>
      </c>
      <c r="DD225" s="21">
        <f t="shared" ca="1" si="256"/>
        <v>8.1911262798634865E-3</v>
      </c>
      <c r="DE225" s="21">
        <f t="shared" ca="1" si="257"/>
        <v>1.6134036611852323E-2</v>
      </c>
      <c r="DF225" s="21">
        <f t="shared" ca="1" si="258"/>
        <v>3.1319012246536861E-2</v>
      </c>
      <c r="DG225" s="21">
        <f t="shared" ca="1" si="259"/>
        <v>5.9158134243458518E-2</v>
      </c>
      <c r="DH225" s="21">
        <f t="shared" ca="1" si="260"/>
        <v>0.10648464163822532</v>
      </c>
      <c r="DI225" s="21">
        <f t="shared" ca="1" si="261"/>
        <v>0.17747440273037554</v>
      </c>
      <c r="DJ225" s="21">
        <f t="shared" ca="1" si="262"/>
        <v>0.26621160409556333</v>
      </c>
      <c r="DL225" s="16" cm="1">
        <f t="array" aca="1" ref="DL225" ca="1">MAX(_xlfn._xlws.FILTER(CW225:DJ225,CW225:DJ225&lt;BU225))</f>
        <v>-8.1911262798634865E-3</v>
      </c>
      <c r="DM225" s="16" cm="1">
        <f t="array" aca="1" ref="DM225" ca="1">MIN(_xlfn._xlws.FILTER(CW225:DJ225,CW225:DJ225&gt;BU225))</f>
        <v>8.1911262798634865E-3</v>
      </c>
      <c r="DN225" s="2" cm="1">
        <f t="array" aca="1" ref="DN225" ca="1">_FV(EC225,"Fechamento anterior",TRUE)</f>
        <v>4.05</v>
      </c>
      <c r="DO225" s="28">
        <f t="shared" ca="1" si="235"/>
        <v>0.65072016460904858</v>
      </c>
      <c r="DP225" s="15">
        <f t="shared" ca="1" si="263"/>
        <v>4.0168259385665523</v>
      </c>
      <c r="DQ225" s="15">
        <f t="shared" ca="1" si="264"/>
        <v>4.0831740614334473</v>
      </c>
      <c r="DR225" s="9"/>
      <c r="DS225" s="9"/>
      <c r="DT225" s="9"/>
      <c r="DU225" s="89">
        <v>8.3382972531163904E-3</v>
      </c>
      <c r="DV225" s="89">
        <f t="shared" ca="1" si="236"/>
        <v>1.6382252559726973E-2</v>
      </c>
      <c r="DW225" s="72">
        <f t="shared" ca="1" si="237"/>
        <v>0.31744717195946748</v>
      </c>
      <c r="DX225" s="37"/>
      <c r="DY225" s="35">
        <f t="shared" si="247"/>
        <v>0.2677610875388729</v>
      </c>
      <c r="DZ225" s="56"/>
      <c r="EA225" s="56"/>
      <c r="EC225" s="2" t="e" vm="227">
        <v>#VALUE!</v>
      </c>
      <c r="EE225" s="10" cm="1">
        <f t="array" aca="1" ref="EE225" ca="1">_FV(EC225,"Ações em circulação",TRUE)</f>
        <v>140986900</v>
      </c>
      <c r="EF225" s="18">
        <f>VLOOKUP(BP225,Fundamentus!A:U,5,FALSE)</f>
        <v>0.22500000000000001</v>
      </c>
      <c r="EG225" s="2">
        <f t="shared" ca="1" si="238"/>
        <v>2544030284.4444442</v>
      </c>
      <c r="EH225" s="17">
        <v>-117279796.11288889</v>
      </c>
      <c r="EI225" s="17">
        <f t="shared" ca="1" si="239"/>
        <v>-117279796.11288889</v>
      </c>
      <c r="EK225" s="16">
        <f t="shared" ca="1" si="226"/>
        <v>0</v>
      </c>
      <c r="EL225" s="32" t="str">
        <f>IF(VLOOKUP(BP225,Fundamentus!A:U,3,FALSE)&lt;15,"Bom",IF(VLOOKUP(BP225,Fundamentus!A:U,3,FALSE)&gt;15,"Ruim","n/a"))</f>
        <v>Bom</v>
      </c>
      <c r="EM225" s="28" t="str">
        <f>IF(VLOOKUP(BP225,Fundamentus!A:U,4,FALSE)&lt;1,"Baixo",IF(VLOOKUP(BP225,Fundamentus!A:U,4,FALSE)&lt;1.5,"Moderado",IF(VLOOKUP(BP225,Fundamentus!A:U,4,FALSE)&gt;1.5,"Alto","n/a")))</f>
        <v>Alto</v>
      </c>
      <c r="EN225" s="17" t="str">
        <f>IF(VLOOKUP(BP225,Fundamentus!A:U,8,FALSE)&lt;0,"Risco elevado",IF(VLOOKUP(BP225,Fundamentus!A:U,8,FALSE)&lt;1,"Saudável",IF(VLOOKUP(BP225,Fundamentus!A:U,8,FALSE)&lt;3,"Estável",IF(VLOOKUP(BP225,Fundamentus!A:U,8,FALSE)&gt;3,"Alerta","n/a"))))</f>
        <v>Risco elevado</v>
      </c>
      <c r="EO225" s="28" t="str">
        <f t="shared" si="240"/>
        <v>Ruim</v>
      </c>
      <c r="EP225" s="17" t="str">
        <f>IF(VLOOKUP(BP225,Fundamentus!A:U,12,FALSE)&lt;2,"Subvalorizada",IF(VLOOKUP(BP225,Fundamentus!A:U,12,FALSE)&lt;6,"Muita barata",IF(VLOOKUP(BP225,Fundamentus!A:U,12,FALSE)&lt;6,"Barata",IF(VLOOKUP(BP225,Fundamentus!A:U,12,FALSE)&lt;8,"Atrativa",IF(VLOOKUP(BP225,Fundamentus!A:U,12,FALSE)&gt;8,"Supervalorizada","n/a")))))</f>
        <v>Muita barata</v>
      </c>
      <c r="ER225" s="17" t="str">
        <f>IF(VLOOKUP(BP225,Fundamentus!A:U,17,FALSE)&lt;0.1,"Fraco retorno",IF(VLOOKUP(BP225,Fundamentus!A:U,17,FALSE)&gt;0.1,"Bom retorno","n/a"))</f>
        <v>Fraco retorno</v>
      </c>
      <c r="ES225" s="17" t="str">
        <f>IF(VLOOKUP(BP225,Fundamentus!A:U,16,FALSE)&lt;0.1,"Ineficiente",IF(VLOOKUP(BP225,Fundamentus!A:U,16,FALSE)&gt;0.1,"Eficiente","n/a"))</f>
        <v>Ineficiente</v>
      </c>
      <c r="ET225" s="33" t="str">
        <f>IF(VLOOKUP(BP225,Fundamentus!A:U,16,FALSE)&lt;0.1,"Oper. Ineficiente",IF(VLOOKUP(BP225,Fundamentus!A:U,16,FALSE)&gt;0.1,"Oper.Eficiente","n/a"))</f>
        <v>Oper. Ineficiente</v>
      </c>
      <c r="EU225" s="34">
        <f>VLOOKUP(BP225,Fundamentus!A:U,14,FALSE)</f>
        <v>-4.6100000000000002E-2</v>
      </c>
      <c r="EV225" s="17" t="str">
        <f>IF(VLOOKUP(BP225,Fundamentus!A:U,21,FALSE)&lt;0,"Negativo",IF(VLOOKUP(BP225,Fundamentus!A:U,21,FALSE)&lt;0.05,"Fraco",IF(VLOOKUP(BP225,Fundamentus!A:U,21,FALSE)&lt;0.1,"Bom",IF(VLOOKUP(BP225,Fundamentus!A:U,21,FALSE)&gt;0.1,"Muito bom","n/a"))))</f>
        <v>Muito bom</v>
      </c>
      <c r="EX225" s="29" t="str">
        <f>IF(VLOOKUP(BP225,Fundamentus!A:U,15,FALSE)&gt;1,"Bom",IF(VLOOKUP(BP225,Fundamentus!A:U,15,FALSE)&lt;1,"Ruim","n/a"))</f>
        <v>Ruim</v>
      </c>
      <c r="EY225" s="17" t="str">
        <f>IF(VLOOKUP(BP225,Fundamentus!A:U,20,FALSE)&lt;0.5,"Baixa",IF(VLOOKUP(BP225,Fundamentus!A:U,20,FALSE)&lt;1,"Moderada",IF(VLOOKUP(BP225,Fundamentus!A:U,20,FALSE)&lt;2,"Alerta",IF(VLOOKUP(BP225,Fundamentus!A:U,20,FALSE)&gt;2,"Alta","n/a"))))</f>
        <v>Alta</v>
      </c>
    </row>
    <row r="226" spans="1:155" s="2" customFormat="1" ht="11.25" x14ac:dyDescent="0.2">
      <c r="A226" s="4">
        <v>5.42</v>
      </c>
      <c r="B226" s="4">
        <v>4.4000000000000004</v>
      </c>
      <c r="C226" s="4">
        <v>3.1</v>
      </c>
      <c r="D226" s="4">
        <v>3.04</v>
      </c>
      <c r="E226" s="4">
        <v>2.85</v>
      </c>
      <c r="F226" s="4">
        <v>2.37</v>
      </c>
      <c r="G226" s="4">
        <v>2.14</v>
      </c>
      <c r="H226" s="4">
        <v>2.0299999999999998</v>
      </c>
      <c r="I226" s="4">
        <v>2.21</v>
      </c>
      <c r="J226" s="4">
        <v>2.85</v>
      </c>
      <c r="K226" s="4">
        <v>2.63</v>
      </c>
      <c r="L226" s="4">
        <v>2.37</v>
      </c>
      <c r="M226" s="4">
        <v>2.2000000000000002</v>
      </c>
      <c r="N226" s="4">
        <v>2.2000000000000002</v>
      </c>
      <c r="O226" s="4">
        <v>2.71</v>
      </c>
      <c r="P226" s="4">
        <v>2.0299999999999998</v>
      </c>
      <c r="Q226" s="4">
        <v>2.04</v>
      </c>
      <c r="R226" s="4">
        <v>1.9</v>
      </c>
      <c r="S226" s="4">
        <v>2.02</v>
      </c>
      <c r="T226" s="4">
        <v>2.2400000000000002</v>
      </c>
      <c r="U226" s="4">
        <v>1.93</v>
      </c>
      <c r="V226" s="4">
        <v>1.87</v>
      </c>
      <c r="W226" s="4">
        <v>1.8</v>
      </c>
      <c r="X226" s="4">
        <v>1.78</v>
      </c>
      <c r="Y226" s="4">
        <v>1.89</v>
      </c>
      <c r="Z226" s="4">
        <v>1.93</v>
      </c>
      <c r="AA226" s="4">
        <v>2.0699999999999998</v>
      </c>
      <c r="AB226" s="4">
        <v>2.37</v>
      </c>
      <c r="AC226" s="4">
        <v>1.93</v>
      </c>
      <c r="AD226" s="4">
        <v>1.95</v>
      </c>
      <c r="AE226" s="4">
        <v>1.98</v>
      </c>
      <c r="AF226" s="4">
        <v>1.85</v>
      </c>
      <c r="AG226" s="4">
        <v>1.89</v>
      </c>
      <c r="AH226" s="4">
        <v>1.98</v>
      </c>
      <c r="AI226" s="4">
        <v>2.12</v>
      </c>
      <c r="AJ226" s="4">
        <v>2.0499999999999998</v>
      </c>
      <c r="AK226" s="4">
        <v>1.93</v>
      </c>
      <c r="AL226" s="4">
        <v>1.9</v>
      </c>
      <c r="AM226" s="4">
        <v>1.76</v>
      </c>
      <c r="AN226" s="4">
        <v>1.66</v>
      </c>
      <c r="AO226" s="4">
        <v>1.38</v>
      </c>
      <c r="AP226" s="4">
        <v>1.6</v>
      </c>
      <c r="AQ226" s="4">
        <v>1.5</v>
      </c>
      <c r="AR226" s="4">
        <v>1.33</v>
      </c>
      <c r="AS226" s="4">
        <v>1.4</v>
      </c>
      <c r="AT226" s="4">
        <v>1.47</v>
      </c>
      <c r="AU226" s="4">
        <v>1.5049999999999999</v>
      </c>
      <c r="AV226" s="4">
        <v>1.38</v>
      </c>
      <c r="AW226" s="4">
        <v>1.29</v>
      </c>
      <c r="AX226" s="4">
        <v>1.27</v>
      </c>
      <c r="AY226" s="12">
        <v>1.25</v>
      </c>
      <c r="AZ226" s="12">
        <v>1.21</v>
      </c>
      <c r="BA226" s="12">
        <v>1.1499999999999999</v>
      </c>
      <c r="BB226" s="15">
        <v>1.1599999999999999</v>
      </c>
      <c r="BC226" s="52">
        <v>1.37</v>
      </c>
      <c r="BD226" s="52">
        <v>1.36</v>
      </c>
      <c r="BE226" s="52">
        <v>1.37</v>
      </c>
      <c r="BF226" s="52">
        <v>1.19</v>
      </c>
      <c r="BG226" s="67">
        <v>1.2</v>
      </c>
      <c r="BH226" s="52">
        <v>1.17</v>
      </c>
      <c r="BI226" s="52">
        <v>1.25</v>
      </c>
      <c r="BJ226" s="52">
        <v>1.18</v>
      </c>
      <c r="BK226" s="52">
        <v>1.19</v>
      </c>
      <c r="BL226" s="52">
        <v>1.1399999999999999</v>
      </c>
      <c r="BM226" s="52">
        <v>1.1000000000000001</v>
      </c>
      <c r="BN226" s="52">
        <v>1.08</v>
      </c>
      <c r="BO226" s="52" cm="1">
        <f t="array" aca="1" ref="BO226" ca="1">_FV(EC226,"Preço")</f>
        <v>1.08</v>
      </c>
      <c r="BP226" s="69" t="s">
        <v>222</v>
      </c>
      <c r="BQ226" s="36" cm="1">
        <f t="array" aca="1" ref="BQ226" ca="1">_FV(EC226,"Média de volume",TRUE)</f>
        <v>619620</v>
      </c>
      <c r="BR226" s="36">
        <v>863200</v>
      </c>
      <c r="BS226" s="36" cm="1">
        <f t="array" aca="1" ref="BS226" ca="1">_FV(EC226,"Volume")</f>
        <v>863200</v>
      </c>
      <c r="BT226" s="24" cm="1">
        <f t="array" aca="1" ref="BT226" ca="1">_FV(EC226,"Beta")</f>
        <v>0.96199999999999997</v>
      </c>
      <c r="BU226" s="71" cm="1">
        <f t="array" aca="1" ref="BU226" ca="1">_FV(EC226,"Variação (%)",TRUE)</f>
        <v>1.8867999999999999E-2</v>
      </c>
      <c r="BW226" s="17" cm="1">
        <f t="array" aca="1" ref="BW226" ca="1">_FV(EC226,"Baixo")</f>
        <v>1.05</v>
      </c>
      <c r="BX226" s="17" cm="1">
        <f t="array" aca="1" ref="BX226" ca="1">_FV(EC226,"Alto")</f>
        <v>1.1000000000000001</v>
      </c>
      <c r="BY226" s="24"/>
      <c r="BZ226" s="63" t="e">
        <f ca="1">SQRT(22.5*(BO226/VLOOKUP(BP226,Fundamentus!A:U,3,FALSE))*(BO226/VLOOKUP(BP226,Fundamentus!A:U,4,FALSE)))</f>
        <v>#NUM!</v>
      </c>
      <c r="CB226" s="62">
        <f t="shared" ca="1" si="241"/>
        <v>0</v>
      </c>
      <c r="CC226" s="8"/>
      <c r="CD226" s="61">
        <f t="shared" si="242"/>
        <v>1.08</v>
      </c>
      <c r="CE226" s="61">
        <f t="shared" si="243"/>
        <v>5.42</v>
      </c>
      <c r="CF226" s="61">
        <f t="shared" si="244"/>
        <v>1.8921969696969703</v>
      </c>
      <c r="CG226" s="14"/>
      <c r="CH226" s="35">
        <f t="shared" si="227"/>
        <v>0.94883736308584465</v>
      </c>
      <c r="CI226" s="15">
        <f t="shared" si="245"/>
        <v>1.0349999999999966</v>
      </c>
      <c r="CJ226" s="35">
        <f t="shared" si="228"/>
        <v>1.1211626369141485</v>
      </c>
      <c r="CL226" s="14"/>
      <c r="CM226" s="17">
        <f t="shared" si="229"/>
        <v>-4.7066666666666661</v>
      </c>
      <c r="CN226" s="17">
        <f t="shared" si="230"/>
        <v>-1.813333333333333</v>
      </c>
      <c r="CO226" s="17">
        <f t="shared" si="231"/>
        <v>-0.36666666666666625</v>
      </c>
      <c r="CP226" s="38">
        <f t="shared" si="246"/>
        <v>2.5266666666666668</v>
      </c>
      <c r="CQ226" s="17">
        <f t="shared" si="232"/>
        <v>3.9733333333333336</v>
      </c>
      <c r="CR226" s="17">
        <f t="shared" si="233"/>
        <v>6.8666666666666671</v>
      </c>
      <c r="CS226" s="17">
        <f t="shared" si="234"/>
        <v>8.3133333333333326</v>
      </c>
      <c r="CT226" s="2" cm="1">
        <f t="array" aca="1" ref="CT226" ca="1">MAX(_xlfn._xlws.FILTER(CM226:CS226,CM226:CS226&lt;BO226))</f>
        <v>-0.36666666666666625</v>
      </c>
      <c r="CU226" s="2" cm="1">
        <f t="array" aca="1" ref="CU226" ca="1">MIN(_xlfn._xlws.FILTER($CM226:$CS226,$CM226:$CS226&gt;BO226))</f>
        <v>2.5266666666666668</v>
      </c>
      <c r="CV226" s="16">
        <f t="shared" ca="1" si="248"/>
        <v>-7.8909090909090995</v>
      </c>
      <c r="CW226" s="20">
        <f t="shared" ca="1" si="249"/>
        <v>3.9454545454545498</v>
      </c>
      <c r="CX226" s="20">
        <f t="shared" ca="1" si="250"/>
        <v>2.630303030303033</v>
      </c>
      <c r="CY226" s="20">
        <f t="shared" ca="1" si="251"/>
        <v>1.5781818181818199</v>
      </c>
      <c r="CZ226" s="20">
        <f t="shared" ca="1" si="252"/>
        <v>0.87676767676767775</v>
      </c>
      <c r="DA226" s="20">
        <f t="shared" ca="1" si="253"/>
        <v>0.46417112299465291</v>
      </c>
      <c r="DB226" s="20">
        <f t="shared" ca="1" si="254"/>
        <v>0.23911845730027576</v>
      </c>
      <c r="DC226" s="20">
        <f t="shared" ca="1" si="255"/>
        <v>0.12139860139860154</v>
      </c>
      <c r="DD226" s="21">
        <f t="shared" ca="1" si="256"/>
        <v>-0.12139860139860154</v>
      </c>
      <c r="DE226" s="21">
        <f t="shared" ca="1" si="257"/>
        <v>-0.23911845730027576</v>
      </c>
      <c r="DF226" s="21">
        <f t="shared" ca="1" si="258"/>
        <v>-0.46417112299465291</v>
      </c>
      <c r="DG226" s="21">
        <f t="shared" ca="1" si="259"/>
        <v>-0.87676767676767775</v>
      </c>
      <c r="DH226" s="21">
        <f t="shared" ca="1" si="260"/>
        <v>-1.5781818181818199</v>
      </c>
      <c r="DI226" s="21">
        <f t="shared" ca="1" si="261"/>
        <v>-2.630303030303033</v>
      </c>
      <c r="DJ226" s="21">
        <f t="shared" ca="1" si="262"/>
        <v>-3.9454545454545498</v>
      </c>
      <c r="DL226" s="16" cm="1">
        <f t="array" aca="1" ref="DL226" ca="1">MAX(_xlfn._xlws.FILTER(CW226:DJ226,CW226:DJ226&lt;BU226))</f>
        <v>-0.12139860139860154</v>
      </c>
      <c r="DM226" s="16" cm="1">
        <f t="array" aca="1" ref="DM226" ca="1">MIN(_xlfn._xlws.FILTER(CW226:DJ226,CW226:DJ226&gt;BU226))</f>
        <v>0.12139860139860154</v>
      </c>
      <c r="DN226" s="2" cm="1">
        <f t="array" aca="1" ref="DN226" ca="1">_FV(EC226,"Fechamento anterior",TRUE)</f>
        <v>1.06</v>
      </c>
      <c r="DO226" s="28">
        <f t="shared" ca="1" si="235"/>
        <v>0.57771063385792532</v>
      </c>
      <c r="DP226" s="15">
        <f t="shared" ca="1" si="263"/>
        <v>0.93131748251748236</v>
      </c>
      <c r="DQ226" s="15">
        <f t="shared" ca="1" si="264"/>
        <v>1.1886825174825177</v>
      </c>
      <c r="DR226" s="9"/>
      <c r="DS226" s="9"/>
      <c r="DT226" s="9"/>
      <c r="DU226" s="89">
        <v>0.28150572831423881</v>
      </c>
      <c r="DV226" s="89">
        <f t="shared" ca="1" si="236"/>
        <v>0.24279720279720307</v>
      </c>
      <c r="DW226" s="72">
        <f t="shared" ca="1" si="237"/>
        <v>0.52226813862299959</v>
      </c>
      <c r="DX226" s="37"/>
      <c r="DY226" s="35">
        <f t="shared" si="247"/>
        <v>4.3081318457075975E-2</v>
      </c>
      <c r="DZ226" s="56"/>
      <c r="EA226" s="56"/>
      <c r="EC226" s="2" t="e" vm="228">
        <v>#VALUE!</v>
      </c>
      <c r="EE226" s="10" cm="1">
        <f t="array" aca="1" ref="EE226" ca="1">_FV(EC226,"Ações em circulação",TRUE)</f>
        <v>322820600</v>
      </c>
      <c r="EF226" s="18">
        <f>VLOOKUP(BP226,Fundamentus!A:U,5,FALSE)</f>
        <v>3.1E-2</v>
      </c>
      <c r="EG226" s="2">
        <f t="shared" ca="1" si="238"/>
        <v>11246653161.290323</v>
      </c>
      <c r="EH226" s="17">
        <v>-1456441584.3870969</v>
      </c>
      <c r="EI226" s="17">
        <f t="shared" ca="1" si="239"/>
        <v>-1456441584.3870969</v>
      </c>
      <c r="EK226" s="16">
        <f t="shared" ca="1" si="226"/>
        <v>0</v>
      </c>
      <c r="EL226" s="32" t="str">
        <f>IF(VLOOKUP(BP226,Fundamentus!A:U,3,FALSE)&lt;15,"Bom",IF(VLOOKUP(BP226,Fundamentus!A:U,3,FALSE)&gt;15,"Ruim","n/a"))</f>
        <v>Bom</v>
      </c>
      <c r="EM226" s="28" t="str">
        <f>IF(VLOOKUP(BP226,Fundamentus!A:U,4,FALSE)&lt;1,"Baixo",IF(VLOOKUP(BP226,Fundamentus!A:U,4,FALSE)&lt;1.5,"Moderado",IF(VLOOKUP(BP226,Fundamentus!A:U,4,FALSE)&gt;1.5,"Alto","n/a")))</f>
        <v>Baixo</v>
      </c>
      <c r="EN226" s="17" t="str">
        <f>IF(VLOOKUP(BP226,Fundamentus!A:U,8,FALSE)&lt;0,"Risco elevado",IF(VLOOKUP(BP226,Fundamentus!A:U,8,FALSE)&lt;1,"Saudável",IF(VLOOKUP(BP226,Fundamentus!A:U,8,FALSE)&lt;3,"Estável",IF(VLOOKUP(BP226,Fundamentus!A:U,8,FALSE)&gt;3,"Alerta","n/a"))))</f>
        <v>Saudável</v>
      </c>
      <c r="EO226" s="28" t="str">
        <f t="shared" si="240"/>
        <v>Ruim</v>
      </c>
      <c r="EP226" s="17" t="str">
        <f>IF(VLOOKUP(BP226,Fundamentus!A:U,12,FALSE)&lt;2,"Subvalorizada",IF(VLOOKUP(BP226,Fundamentus!A:U,12,FALSE)&lt;6,"Muita barata",IF(VLOOKUP(BP226,Fundamentus!A:U,12,FALSE)&lt;6,"Barata",IF(VLOOKUP(BP226,Fundamentus!A:U,12,FALSE)&lt;8,"Atrativa",IF(VLOOKUP(BP226,Fundamentus!A:U,12,FALSE)&gt;8,"Supervalorizada","n/a")))))</f>
        <v>Supervalorizada</v>
      </c>
      <c r="ER226" s="17" t="str">
        <f>IF(VLOOKUP(BP226,Fundamentus!A:U,17,FALSE)&lt;0.1,"Fraco retorno",IF(VLOOKUP(BP226,Fundamentus!A:U,17,FALSE)&gt;0.1,"Bom retorno","n/a"))</f>
        <v>Fraco retorno</v>
      </c>
      <c r="ES226" s="17" t="str">
        <f>IF(VLOOKUP(BP226,Fundamentus!A:U,16,FALSE)&lt;0.1,"Ineficiente",IF(VLOOKUP(BP226,Fundamentus!A:U,16,FALSE)&gt;0.1,"Eficiente","n/a"))</f>
        <v>Ineficiente</v>
      </c>
      <c r="ET226" s="33" t="str">
        <f>IF(VLOOKUP(BP226,Fundamentus!A:U,16,FALSE)&lt;0.1,"Oper. Ineficiente",IF(VLOOKUP(BP226,Fundamentus!A:U,16,FALSE)&gt;0.1,"Oper.Eficiente","n/a"))</f>
        <v>Oper. Ineficiente</v>
      </c>
      <c r="EU226" s="34">
        <f>VLOOKUP(BP226,Fundamentus!A:U,14,FALSE)</f>
        <v>-0.1295</v>
      </c>
      <c r="EV226" s="17" t="str">
        <f>IF(VLOOKUP(BP226,Fundamentus!A:U,21,FALSE)&lt;0,"Negativo",IF(VLOOKUP(BP226,Fundamentus!A:U,21,FALSE)&lt;0.05,"Fraco",IF(VLOOKUP(BP226,Fundamentus!A:U,21,FALSE)&lt;0.1,"Bom",IF(VLOOKUP(BP226,Fundamentus!A:U,21,FALSE)&gt;0.1,"Muito bom","n/a"))))</f>
        <v>Muito bom</v>
      </c>
      <c r="EX226" s="29" t="str">
        <f>IF(VLOOKUP(BP226,Fundamentus!A:U,15,FALSE)&gt;1,"Bom",IF(VLOOKUP(BP226,Fundamentus!A:U,15,FALSE)&lt;1,"Ruim","n/a"))</f>
        <v>Bom</v>
      </c>
      <c r="EY226" s="17" t="str">
        <f>IF(VLOOKUP(BP226,Fundamentus!A:U,20,FALSE)&lt;0.5,"Baixa",IF(VLOOKUP(BP226,Fundamentus!A:U,20,FALSE)&lt;1,"Moderada",IF(VLOOKUP(BP226,Fundamentus!A:U,20,FALSE)&lt;2,"Alerta",IF(VLOOKUP(BP226,Fundamentus!A:U,20,FALSE)&gt;2,"Alta","n/a"))))</f>
        <v>Alta</v>
      </c>
    </row>
    <row r="227" spans="1:155" s="2" customFormat="1" ht="11.25" x14ac:dyDescent="0.2">
      <c r="A227" s="4">
        <v>5.39</v>
      </c>
      <c r="B227" s="4">
        <v>5.18</v>
      </c>
      <c r="C227" s="4">
        <v>5.03</v>
      </c>
      <c r="D227" s="4">
        <v>4.78</v>
      </c>
      <c r="E227" s="4">
        <v>4.5</v>
      </c>
      <c r="F227" s="4">
        <v>4.4000000000000004</v>
      </c>
      <c r="G227" s="4">
        <v>4.7699999999999996</v>
      </c>
      <c r="H227" s="4">
        <v>5.16</v>
      </c>
      <c r="I227" s="4">
        <v>5.09</v>
      </c>
      <c r="J227" s="4">
        <v>5.58</v>
      </c>
      <c r="K227" s="4">
        <v>6</v>
      </c>
      <c r="L227" s="4">
        <v>5.6</v>
      </c>
      <c r="M227" s="4">
        <v>5.56</v>
      </c>
      <c r="N227" s="4">
        <v>5.35</v>
      </c>
      <c r="O227" s="4">
        <v>5.4</v>
      </c>
      <c r="P227" s="4">
        <v>5.16</v>
      </c>
      <c r="Q227" s="4">
        <v>5.29</v>
      </c>
      <c r="R227" s="4">
        <v>5.37</v>
      </c>
      <c r="S227" s="4">
        <v>5.08</v>
      </c>
      <c r="T227" s="4">
        <v>5.09</v>
      </c>
      <c r="U227" s="4">
        <v>4.6500000000000004</v>
      </c>
      <c r="V227" s="4">
        <v>4.84</v>
      </c>
      <c r="W227" s="4">
        <v>4.6100000000000003</v>
      </c>
      <c r="X227" s="4">
        <v>4.51</v>
      </c>
      <c r="Y227" s="4">
        <v>4.32</v>
      </c>
      <c r="Z227" s="4">
        <v>4.5999999999999996</v>
      </c>
      <c r="AA227" s="4">
        <v>4.38</v>
      </c>
      <c r="AB227" s="4">
        <v>4.41</v>
      </c>
      <c r="AC227" s="4">
        <v>4.26</v>
      </c>
      <c r="AD227" s="4">
        <v>4.25</v>
      </c>
      <c r="AE227" s="4">
        <v>4.07</v>
      </c>
      <c r="AF227" s="4">
        <v>3.81</v>
      </c>
      <c r="AG227" s="4">
        <v>3.45</v>
      </c>
      <c r="AH227" s="4">
        <v>2.94</v>
      </c>
      <c r="AI227" s="4">
        <v>3</v>
      </c>
      <c r="AJ227" s="4">
        <v>2.97</v>
      </c>
      <c r="AK227" s="4">
        <v>2.88</v>
      </c>
      <c r="AL227" s="4">
        <v>3</v>
      </c>
      <c r="AM227" s="4">
        <v>3.02</v>
      </c>
      <c r="AN227" s="4">
        <v>3.22</v>
      </c>
      <c r="AO227" s="4">
        <v>2.96</v>
      </c>
      <c r="AP227" s="4">
        <v>3.09</v>
      </c>
      <c r="AQ227" s="4">
        <v>2.96</v>
      </c>
      <c r="AR227" s="4">
        <v>2.74</v>
      </c>
      <c r="AS227" s="4">
        <v>2.69</v>
      </c>
      <c r="AT227" s="4">
        <v>3</v>
      </c>
      <c r="AU227" s="4">
        <v>3.2149999999999999</v>
      </c>
      <c r="AV227" s="4">
        <v>3.47</v>
      </c>
      <c r="AW227" s="4">
        <v>3.42</v>
      </c>
      <c r="AX227" s="4">
        <v>3.67</v>
      </c>
      <c r="AY227" s="12">
        <v>3.61</v>
      </c>
      <c r="AZ227" s="12">
        <v>3.75</v>
      </c>
      <c r="BA227" s="12">
        <v>3.68</v>
      </c>
      <c r="BB227" s="15">
        <v>3.77</v>
      </c>
      <c r="BC227" s="52">
        <v>3.83</v>
      </c>
      <c r="BD227" s="52">
        <v>3.43</v>
      </c>
      <c r="BE227" s="52">
        <v>3.49</v>
      </c>
      <c r="BF227" s="52">
        <v>3.52</v>
      </c>
      <c r="BG227" s="67">
        <v>3.53</v>
      </c>
      <c r="BH227" s="52">
        <v>3.42</v>
      </c>
      <c r="BI227" s="52">
        <v>3.41</v>
      </c>
      <c r="BJ227" s="52">
        <v>3.38</v>
      </c>
      <c r="BK227" s="52">
        <v>3.06</v>
      </c>
      <c r="BL227" s="52">
        <v>3.01</v>
      </c>
      <c r="BM227" s="52">
        <v>3.31</v>
      </c>
      <c r="BN227" s="52">
        <v>3.34</v>
      </c>
      <c r="BO227" s="52" cm="1">
        <f t="array" aca="1" ref="BO227" ca="1">_FV(EC227,"Preço")</f>
        <v>3.34</v>
      </c>
      <c r="BP227" s="69" t="s">
        <v>223</v>
      </c>
      <c r="BQ227" s="36" cm="1">
        <f t="array" aca="1" ref="BQ227" ca="1">_FV(EC227,"Média de volume",TRUE)</f>
        <v>388590</v>
      </c>
      <c r="BR227" s="36">
        <v>450600</v>
      </c>
      <c r="BS227" s="36" cm="1">
        <f t="array" aca="1" ref="BS227" ca="1">_FV(EC227,"Volume")</f>
        <v>450600</v>
      </c>
      <c r="BT227" s="24" cm="1">
        <f t="array" aca="1" ref="BT227" ca="1">_FV(EC227,"Beta")</f>
        <v>1.4258</v>
      </c>
      <c r="BU227" s="71" cm="1">
        <f t="array" aca="1" ref="BU227" ca="1">_FV(EC227,"Variação (%)",TRUE)</f>
        <v>-8.9020000000000002E-3</v>
      </c>
      <c r="BW227" s="17" cm="1">
        <f t="array" aca="1" ref="BW227" ca="1">_FV(EC227,"Baixo")</f>
        <v>3.28</v>
      </c>
      <c r="BX227" s="17" cm="1">
        <f t="array" aca="1" ref="BX227" ca="1">_FV(EC227,"Alto")</f>
        <v>3.48</v>
      </c>
      <c r="BY227" s="24"/>
      <c r="BZ227" s="63">
        <f ca="1">SQRT(22.5*(BO227/VLOOKUP(BP227,Fundamentus!A:U,3,FALSE))*(BO227/VLOOKUP(BP227,Fundamentus!A:U,4,FALSE)))</f>
        <v>13.735051318571331</v>
      </c>
      <c r="CB227" s="62">
        <f t="shared" ca="1" si="241"/>
        <v>0</v>
      </c>
      <c r="CC227" s="8"/>
      <c r="CD227" s="61">
        <f t="shared" si="242"/>
        <v>2.69</v>
      </c>
      <c r="CE227" s="61">
        <f t="shared" si="243"/>
        <v>6</v>
      </c>
      <c r="CF227" s="61">
        <f t="shared" si="244"/>
        <v>4.0564393939393932</v>
      </c>
      <c r="CG227" s="14"/>
      <c r="CH227" s="35">
        <f t="shared" si="227"/>
        <v>3.1580146583304334</v>
      </c>
      <c r="CI227" s="15">
        <f t="shared" si="245"/>
        <v>3.4650000000000318</v>
      </c>
      <c r="CJ227" s="35">
        <f t="shared" si="228"/>
        <v>3.7719853416696303</v>
      </c>
      <c r="CL227" s="14"/>
      <c r="CM227" s="17">
        <f t="shared" si="229"/>
        <v>-1.2900000000000005</v>
      </c>
      <c r="CN227" s="17">
        <f t="shared" si="230"/>
        <v>0.69999999999999973</v>
      </c>
      <c r="CO227" s="17">
        <f t="shared" si="231"/>
        <v>2.0199999999999996</v>
      </c>
      <c r="CP227" s="38">
        <f t="shared" si="246"/>
        <v>4.01</v>
      </c>
      <c r="CQ227" s="17">
        <f t="shared" si="232"/>
        <v>5.33</v>
      </c>
      <c r="CR227" s="17">
        <f t="shared" si="233"/>
        <v>7.32</v>
      </c>
      <c r="CS227" s="17">
        <f t="shared" si="234"/>
        <v>8.64</v>
      </c>
      <c r="CT227" s="2" cm="1">
        <f t="array" aca="1" ref="CT227" ca="1">MAX(_xlfn._xlws.FILTER(CM227:CS227,CM227:CS227&lt;BO227))</f>
        <v>2.0199999999999996</v>
      </c>
      <c r="CU227" s="2" cm="1">
        <f t="array" aca="1" ref="CU227" ca="1">MIN(_xlfn._xlws.FILTER($CM227:$CS227,$CM227:$CS227&gt;BO227))</f>
        <v>4.01</v>
      </c>
      <c r="CV227" s="16">
        <f t="shared" ca="1" si="248"/>
        <v>0.98514851485148536</v>
      </c>
      <c r="CW227" s="20">
        <f t="shared" ca="1" si="249"/>
        <v>-0.49257425742574268</v>
      </c>
      <c r="CX227" s="20">
        <f t="shared" ca="1" si="250"/>
        <v>-0.32838283828382847</v>
      </c>
      <c r="CY227" s="20">
        <f t="shared" ca="1" si="251"/>
        <v>-0.19702970297029707</v>
      </c>
      <c r="CZ227" s="20">
        <f t="shared" ca="1" si="252"/>
        <v>-0.10946094609460949</v>
      </c>
      <c r="DA227" s="20">
        <f t="shared" ca="1" si="253"/>
        <v>-5.7949912638322665E-2</v>
      </c>
      <c r="DB227" s="20">
        <f t="shared" ca="1" si="254"/>
        <v>-2.9852985298529859E-2</v>
      </c>
      <c r="DC227" s="20">
        <f t="shared" ca="1" si="255"/>
        <v>-1.5156130997715159E-2</v>
      </c>
      <c r="DD227" s="21">
        <f t="shared" ca="1" si="256"/>
        <v>1.5156130997715159E-2</v>
      </c>
      <c r="DE227" s="21">
        <f t="shared" ca="1" si="257"/>
        <v>2.9852985298529859E-2</v>
      </c>
      <c r="DF227" s="21">
        <f t="shared" ca="1" si="258"/>
        <v>5.7949912638322665E-2</v>
      </c>
      <c r="DG227" s="21">
        <f t="shared" ca="1" si="259"/>
        <v>0.10946094609460949</v>
      </c>
      <c r="DH227" s="21">
        <f t="shared" ca="1" si="260"/>
        <v>0.19702970297029707</v>
      </c>
      <c r="DI227" s="21">
        <f t="shared" ca="1" si="261"/>
        <v>0.32838283828382847</v>
      </c>
      <c r="DJ227" s="21">
        <f t="shared" ca="1" si="262"/>
        <v>0.49257425742574268</v>
      </c>
      <c r="DL227" s="16" cm="1">
        <f t="array" aca="1" ref="DL227" ca="1">MAX(_xlfn._xlws.FILTER(CW227:DJ227,CW227:DJ227&lt;BU227))</f>
        <v>-1.5156130997715159E-2</v>
      </c>
      <c r="DM227" s="16" cm="1">
        <f t="array" aca="1" ref="DM227" ca="1">MIN(_xlfn._xlws.FILTER(CW227:DJ227,CW227:DJ227&gt;BU227))</f>
        <v>1.5156130997715159E-2</v>
      </c>
      <c r="DN227" s="2" cm="1">
        <f t="array" aca="1" ref="DN227" ca="1">_FV(EC227,"Fechamento anterior",TRUE)</f>
        <v>3.37</v>
      </c>
      <c r="DO227" s="28">
        <f t="shared" ca="1" si="235"/>
        <v>0.20632092211800612</v>
      </c>
      <c r="DP227" s="15">
        <f t="shared" ca="1" si="263"/>
        <v>3.3189238385377</v>
      </c>
      <c r="DQ227" s="15">
        <f t="shared" ca="1" si="264"/>
        <v>3.4210761614623002</v>
      </c>
      <c r="DR227" s="9"/>
      <c r="DS227" s="9"/>
      <c r="DT227" s="9"/>
      <c r="DU227" s="89">
        <v>6.1002178649237473E-2</v>
      </c>
      <c r="DV227" s="89">
        <f t="shared" ca="1" si="236"/>
        <v>3.0312261995430318E-2</v>
      </c>
      <c r="DW227" s="72">
        <f t="shared" ca="1" si="237"/>
        <v>-0.40718556566966874</v>
      </c>
      <c r="DX227" s="37"/>
      <c r="DY227" s="35">
        <f t="shared" si="247"/>
        <v>0.15349267083479917</v>
      </c>
      <c r="DZ227" s="56"/>
      <c r="EA227" s="56"/>
      <c r="EC227" s="2" t="e" vm="229">
        <v>#VALUE!</v>
      </c>
      <c r="EE227" s="10" cm="1">
        <f t="array" aca="1" ref="EE227" ca="1">_FV(EC227,"Ações em circulação",TRUE)</f>
        <v>103189000</v>
      </c>
      <c r="EF227" s="18">
        <f>VLOOKUP(BP227,Fundamentus!A:U,5,FALSE)</f>
        <v>1.8420000000000001</v>
      </c>
      <c r="EG227" s="2">
        <f t="shared" ca="1" si="238"/>
        <v>187107090.1194354</v>
      </c>
      <c r="EH227" s="17">
        <v>132752480.43973942</v>
      </c>
      <c r="EI227" s="17">
        <f t="shared" ca="1" si="239"/>
        <v>132752480.43973942</v>
      </c>
      <c r="EK227" s="16">
        <f t="shared" ca="1" si="226"/>
        <v>0</v>
      </c>
      <c r="EL227" s="32" t="str">
        <f>IF(VLOOKUP(BP227,Fundamentus!A:U,3,FALSE)&lt;15,"Bom",IF(VLOOKUP(BP227,Fundamentus!A:U,3,FALSE)&gt;15,"Ruim","n/a"))</f>
        <v>Bom</v>
      </c>
      <c r="EM227" s="28" t="str">
        <f>IF(VLOOKUP(BP227,Fundamentus!A:U,4,FALSE)&lt;1,"Baixo",IF(VLOOKUP(BP227,Fundamentus!A:U,4,FALSE)&lt;1.5,"Moderado",IF(VLOOKUP(BP227,Fundamentus!A:U,4,FALSE)&gt;1.5,"Alto","n/a")))</f>
        <v>Baixo</v>
      </c>
      <c r="EN227" s="17" t="str">
        <f>IF(VLOOKUP(BP227,Fundamentus!A:U,8,FALSE)&lt;0,"Risco elevado",IF(VLOOKUP(BP227,Fundamentus!A:U,8,FALSE)&lt;1,"Saudável",IF(VLOOKUP(BP227,Fundamentus!A:U,8,FALSE)&lt;3,"Estável",IF(VLOOKUP(BP227,Fundamentus!A:U,8,FALSE)&gt;3,"Alerta","n/a"))))</f>
        <v>Estável</v>
      </c>
      <c r="EO227" s="28" t="str">
        <f t="shared" si="240"/>
        <v>Bom</v>
      </c>
      <c r="EP227" s="17" t="str">
        <f>IF(VLOOKUP(BP227,Fundamentus!A:U,12,FALSE)&lt;2,"Subvalorizada",IF(VLOOKUP(BP227,Fundamentus!A:U,12,FALSE)&lt;6,"Muita barata",IF(VLOOKUP(BP227,Fundamentus!A:U,12,FALSE)&lt;6,"Barata",IF(VLOOKUP(BP227,Fundamentus!A:U,12,FALSE)&lt;8,"Atrativa",IF(VLOOKUP(BP227,Fundamentus!A:U,12,FALSE)&gt;8,"Supervalorizada","n/a")))))</f>
        <v>Muita barata</v>
      </c>
      <c r="ER227" s="17" t="str">
        <f>IF(VLOOKUP(BP227,Fundamentus!A:U,17,FALSE)&lt;0.1,"Fraco retorno",IF(VLOOKUP(BP227,Fundamentus!A:U,17,FALSE)&gt;0.1,"Bom retorno","n/a"))</f>
        <v>Fraco retorno</v>
      </c>
      <c r="ES227" s="17" t="str">
        <f>IF(VLOOKUP(BP227,Fundamentus!A:U,16,FALSE)&lt;0.1,"Ineficiente",IF(VLOOKUP(BP227,Fundamentus!A:U,16,FALSE)&gt;0.1,"Eficiente","n/a"))</f>
        <v>Ineficiente</v>
      </c>
      <c r="ET227" s="33" t="str">
        <f>IF(VLOOKUP(BP227,Fundamentus!A:U,16,FALSE)&lt;0.1,"Oper. Ineficiente",IF(VLOOKUP(BP227,Fundamentus!A:U,16,FALSE)&gt;0.1,"Oper.Eficiente","n/a"))</f>
        <v>Oper. Ineficiente</v>
      </c>
      <c r="EU227" s="34">
        <f>VLOOKUP(BP227,Fundamentus!A:U,14,FALSE)</f>
        <v>0.70950000000000002</v>
      </c>
      <c r="EV227" s="17" t="str">
        <f>IF(VLOOKUP(BP227,Fundamentus!A:U,21,FALSE)&lt;0,"Negativo",IF(VLOOKUP(BP227,Fundamentus!A:U,21,FALSE)&lt;0.05,"Fraco",IF(VLOOKUP(BP227,Fundamentus!A:U,21,FALSE)&lt;0.1,"Bom",IF(VLOOKUP(BP227,Fundamentus!A:U,21,FALSE)&gt;0.1,"Muito bom","n/a"))))</f>
        <v>Muito bom</v>
      </c>
      <c r="EX227" s="29" t="str">
        <f>IF(VLOOKUP(BP227,Fundamentus!A:U,15,FALSE)&gt;1,"Bom",IF(VLOOKUP(BP227,Fundamentus!A:U,15,FALSE)&lt;1,"Ruim","n/a"))</f>
        <v>Bom</v>
      </c>
      <c r="EY227" s="17" t="str">
        <f>IF(VLOOKUP(BP227,Fundamentus!A:U,20,FALSE)&lt;0.5,"Baixa",IF(VLOOKUP(BP227,Fundamentus!A:U,20,FALSE)&lt;1,"Moderada",IF(VLOOKUP(BP227,Fundamentus!A:U,20,FALSE)&lt;2,"Alerta",IF(VLOOKUP(BP227,Fundamentus!A:U,20,FALSE)&gt;2,"Alta","n/a"))))</f>
        <v>Moderada</v>
      </c>
    </row>
    <row r="228" spans="1:155" s="2" customFormat="1" ht="11.25" x14ac:dyDescent="0.2">
      <c r="A228" s="4">
        <v>3.62</v>
      </c>
      <c r="B228" s="4">
        <v>3.57</v>
      </c>
      <c r="C228" s="4">
        <v>3.48</v>
      </c>
      <c r="D228" s="4">
        <v>3.41</v>
      </c>
      <c r="E228" s="4">
        <v>3.24</v>
      </c>
      <c r="F228" s="4">
        <v>3.35</v>
      </c>
      <c r="G228" s="4">
        <v>3.25</v>
      </c>
      <c r="H228" s="4">
        <v>3.08</v>
      </c>
      <c r="I228" s="4">
        <v>3.06</v>
      </c>
      <c r="J228" s="4">
        <v>3.08</v>
      </c>
      <c r="K228" s="4">
        <v>3.12</v>
      </c>
      <c r="L228" s="4">
        <v>3.14</v>
      </c>
      <c r="M228" s="4">
        <v>3.1</v>
      </c>
      <c r="N228" s="4">
        <v>3.23</v>
      </c>
      <c r="O228" s="4">
        <v>3.04</v>
      </c>
      <c r="P228" s="4">
        <v>3.14</v>
      </c>
      <c r="Q228" s="4">
        <v>3.27</v>
      </c>
      <c r="R228" s="4">
        <v>3.3</v>
      </c>
      <c r="S228" s="4">
        <v>3.26</v>
      </c>
      <c r="T228" s="4">
        <v>3.12</v>
      </c>
      <c r="U228" s="4">
        <v>3.18</v>
      </c>
      <c r="V228" s="4">
        <v>3.11</v>
      </c>
      <c r="W228" s="4">
        <v>3.1</v>
      </c>
      <c r="X228" s="4">
        <v>3.18</v>
      </c>
      <c r="Y228" s="4">
        <v>3.08</v>
      </c>
      <c r="Z228" s="4">
        <v>3.08</v>
      </c>
      <c r="AA228" s="4">
        <v>3.02</v>
      </c>
      <c r="AB228" s="4">
        <v>2.8</v>
      </c>
      <c r="AC228" s="4">
        <v>2.78</v>
      </c>
      <c r="AD228" s="4">
        <v>2.79</v>
      </c>
      <c r="AE228" s="4">
        <v>2.56</v>
      </c>
      <c r="AF228" s="4">
        <v>2.44</v>
      </c>
      <c r="AG228" s="4">
        <v>2.31</v>
      </c>
      <c r="AH228" s="4">
        <v>2.15</v>
      </c>
      <c r="AI228" s="4">
        <v>2.1</v>
      </c>
      <c r="AJ228" s="4">
        <v>2.12</v>
      </c>
      <c r="AK228" s="4">
        <v>2.27</v>
      </c>
      <c r="AL228" s="4">
        <v>2.33</v>
      </c>
      <c r="AM228" s="4">
        <v>2.29</v>
      </c>
      <c r="AN228" s="4">
        <v>2.25</v>
      </c>
      <c r="AO228" s="4">
        <v>2.56</v>
      </c>
      <c r="AP228" s="4">
        <v>2.46</v>
      </c>
      <c r="AQ228" s="4">
        <v>2.64</v>
      </c>
      <c r="AR228" s="4">
        <v>2.4900000000000002</v>
      </c>
      <c r="AS228" s="4">
        <v>2.63</v>
      </c>
      <c r="AT228" s="4">
        <v>2.7</v>
      </c>
      <c r="AU228" s="4">
        <v>2.56</v>
      </c>
      <c r="AV228" s="4">
        <v>2.67</v>
      </c>
      <c r="AW228" s="4">
        <v>2.48</v>
      </c>
      <c r="AX228" s="4">
        <v>2.61</v>
      </c>
      <c r="AY228" s="12">
        <v>2.58</v>
      </c>
      <c r="AZ228" s="12">
        <v>2.68</v>
      </c>
      <c r="BA228" s="12">
        <v>3</v>
      </c>
      <c r="BB228" s="15">
        <v>2.94</v>
      </c>
      <c r="BC228" s="52">
        <v>2.83</v>
      </c>
      <c r="BD228" s="52">
        <v>2.59</v>
      </c>
      <c r="BE228" s="52">
        <v>2.69</v>
      </c>
      <c r="BF228" s="52">
        <v>2.71</v>
      </c>
      <c r="BG228" s="67">
        <v>2.52</v>
      </c>
      <c r="BH228" s="52">
        <v>2.48</v>
      </c>
      <c r="BI228" s="52">
        <v>2.4700000000000002</v>
      </c>
      <c r="BJ228" s="52">
        <v>2.39</v>
      </c>
      <c r="BK228" s="52">
        <v>2.3199999999999998</v>
      </c>
      <c r="BL228" s="52">
        <v>2.31</v>
      </c>
      <c r="BM228" s="52">
        <v>2.29</v>
      </c>
      <c r="BN228" s="52">
        <v>2.23</v>
      </c>
      <c r="BO228" s="52" cm="1">
        <f t="array" aca="1" ref="BO228" ca="1">_FV(EC228,"Preço")</f>
        <v>2.23</v>
      </c>
      <c r="BP228" s="69" t="s">
        <v>224</v>
      </c>
      <c r="BQ228" s="36" cm="1">
        <f t="array" aca="1" ref="BQ228" ca="1">_FV(EC228,"Média de volume",TRUE)</f>
        <v>1720</v>
      </c>
      <c r="BR228" s="36">
        <v>1600</v>
      </c>
      <c r="BS228" s="36" cm="1">
        <f t="array" aca="1" ref="BS228" ca="1">_FV(EC228,"Volume")</f>
        <v>1600</v>
      </c>
      <c r="BT228" s="24" cm="1">
        <f t="array" aca="1" ref="BT228" ca="1">_FV(EC228,"Beta")</f>
        <v>0.67030000000000001</v>
      </c>
      <c r="BU228" s="71" cm="1">
        <f t="array" aca="1" ref="BU228" ca="1">_FV(EC228,"Variação (%)",TRUE)</f>
        <v>-8.8890000000000011E-3</v>
      </c>
      <c r="BW228" s="17" cm="1">
        <f t="array" aca="1" ref="BW228" ca="1">_FV(EC228,"Baixo")</f>
        <v>2.23</v>
      </c>
      <c r="BX228" s="17" cm="1">
        <f t="array" aca="1" ref="BX228" ca="1">_FV(EC228,"Alto")</f>
        <v>2.2799999999999998</v>
      </c>
      <c r="BY228" s="24"/>
      <c r="BZ228" s="63" t="e">
        <f ca="1">SQRT(22.5*(BO228/VLOOKUP(BP228,Fundamentus!A:U,3,FALSE))*(BO228/VLOOKUP(BP228,Fundamentus!A:U,4,FALSE)))</f>
        <v>#NUM!</v>
      </c>
      <c r="CB228" s="62">
        <f t="shared" ca="1" si="241"/>
        <v>0</v>
      </c>
      <c r="CC228" s="8"/>
      <c r="CD228" s="61">
        <f t="shared" si="242"/>
        <v>2.1</v>
      </c>
      <c r="CE228" s="61">
        <f t="shared" si="243"/>
        <v>3.62</v>
      </c>
      <c r="CF228" s="61">
        <f t="shared" si="244"/>
        <v>2.7974242424242424</v>
      </c>
      <c r="CG228" s="14"/>
      <c r="CH228" s="35">
        <f t="shared" si="227"/>
        <v>2.1119272101862023</v>
      </c>
      <c r="CI228" s="15">
        <f t="shared" si="245"/>
        <v>2.2150000000000034</v>
      </c>
      <c r="CJ228" s="35">
        <f t="shared" si="228"/>
        <v>2.3180727898138045</v>
      </c>
      <c r="CL228" s="14"/>
      <c r="CM228" s="17">
        <f t="shared" si="229"/>
        <v>0.16000000000000059</v>
      </c>
      <c r="CN228" s="17">
        <f t="shared" si="230"/>
        <v>1.1300000000000003</v>
      </c>
      <c r="CO228" s="17">
        <f t="shared" si="231"/>
        <v>1.6800000000000006</v>
      </c>
      <c r="CP228" s="38">
        <f t="shared" si="246"/>
        <v>2.6500000000000004</v>
      </c>
      <c r="CQ228" s="17">
        <f t="shared" si="232"/>
        <v>3.2000000000000006</v>
      </c>
      <c r="CR228" s="17">
        <f t="shared" si="233"/>
        <v>4.17</v>
      </c>
      <c r="CS228" s="17">
        <f t="shared" si="234"/>
        <v>4.7200000000000006</v>
      </c>
      <c r="CT228" s="2" cm="1">
        <f t="array" aca="1" ref="CT228" ca="1">MAX(_xlfn._xlws.FILTER(CM228:CS228,CM228:CS228&lt;BO228))</f>
        <v>1.6800000000000006</v>
      </c>
      <c r="CU228" s="2" cm="1">
        <f t="array" aca="1" ref="CU228" ca="1">MIN(_xlfn._xlws.FILTER($CM228:$CS228,$CM228:$CS228&gt;BO228))</f>
        <v>2.6500000000000004</v>
      </c>
      <c r="CV228" s="16">
        <f t="shared" ca="1" si="248"/>
        <v>0.57738095238095211</v>
      </c>
      <c r="CW228" s="20">
        <f t="shared" ca="1" si="249"/>
        <v>-0.28869047619047605</v>
      </c>
      <c r="CX228" s="20">
        <f t="shared" ca="1" si="250"/>
        <v>-0.19246031746031736</v>
      </c>
      <c r="CY228" s="20">
        <f t="shared" ca="1" si="251"/>
        <v>-0.11547619047619043</v>
      </c>
      <c r="CZ228" s="20">
        <f t="shared" ca="1" si="252"/>
        <v>-6.4153439153439129E-2</v>
      </c>
      <c r="DA228" s="20">
        <f t="shared" ca="1" si="253"/>
        <v>-3.3963585434173653E-2</v>
      </c>
      <c r="DB228" s="20">
        <f t="shared" ca="1" si="254"/>
        <v>-1.7496392496392489E-2</v>
      </c>
      <c r="DC228" s="20">
        <f t="shared" ca="1" si="255"/>
        <v>-8.882783882783879E-3</v>
      </c>
      <c r="DD228" s="21">
        <f t="shared" ca="1" si="256"/>
        <v>8.882783882783879E-3</v>
      </c>
      <c r="DE228" s="21">
        <f t="shared" ca="1" si="257"/>
        <v>1.7496392496392489E-2</v>
      </c>
      <c r="DF228" s="21">
        <f t="shared" ca="1" si="258"/>
        <v>3.3963585434173653E-2</v>
      </c>
      <c r="DG228" s="21">
        <f t="shared" ca="1" si="259"/>
        <v>6.4153439153439129E-2</v>
      </c>
      <c r="DH228" s="21">
        <f t="shared" ca="1" si="260"/>
        <v>0.11547619047619043</v>
      </c>
      <c r="DI228" s="21">
        <f t="shared" ca="1" si="261"/>
        <v>0.19246031746031736</v>
      </c>
      <c r="DJ228" s="21">
        <f t="shared" ca="1" si="262"/>
        <v>0.28869047619047605</v>
      </c>
      <c r="DL228" s="16" cm="1">
        <f t="array" aca="1" ref="DL228" ca="1">MAX(_xlfn._xlws.FILTER(CW228:DJ228,CW228:DJ228&lt;BU228))</f>
        <v>-1.7496392496392489E-2</v>
      </c>
      <c r="DM228" s="16" cm="1">
        <f t="array" aca="1" ref="DM228" ca="1">MIN(_xlfn._xlws.FILTER(CW228:DJ228,CW228:DJ228&gt;BU228))</f>
        <v>-8.882783882783879E-3</v>
      </c>
      <c r="DN228" s="2" cm="1">
        <f t="array" aca="1" ref="DN228" ca="1">_FV(EC228,"Fechamento anterior",TRUE)</f>
        <v>2.25</v>
      </c>
      <c r="DO228" s="28">
        <f t="shared" ca="1" si="235"/>
        <v>0.99929123711340317</v>
      </c>
      <c r="DP228" s="15">
        <f t="shared" ca="1" si="263"/>
        <v>2.210633116883117</v>
      </c>
      <c r="DQ228" s="15">
        <f t="shared" ca="1" si="264"/>
        <v>2.2300137362637362</v>
      </c>
      <c r="DR228" s="9"/>
      <c r="DS228" s="9"/>
      <c r="DT228" s="9"/>
      <c r="DU228" s="89">
        <v>8.119060426752726E-3</v>
      </c>
      <c r="DV228" s="89">
        <f t="shared" ca="1" si="236"/>
        <v>8.6136086136086101E-3</v>
      </c>
      <c r="DW228" s="72">
        <f t="shared" ca="1" si="237"/>
        <v>0.14552822356990405</v>
      </c>
      <c r="DX228" s="37"/>
      <c r="DY228" s="35">
        <f t="shared" si="247"/>
        <v>5.1536394906900533E-2</v>
      </c>
      <c r="DZ228" s="56"/>
      <c r="EA228" s="56"/>
      <c r="EC228" s="2" t="e" vm="230">
        <v>#VALUE!</v>
      </c>
      <c r="EE228" s="10" cm="1">
        <f t="array" aca="1" ref="EE228" ca="1">_FV(EC228,"Ações em circulação",TRUE)</f>
        <v>43769810</v>
      </c>
      <c r="EF228" s="18">
        <f>VLOOKUP(BP228,Fundamentus!A:U,5,FALSE)</f>
        <v>0.20799999999999999</v>
      </c>
      <c r="EG228" s="2">
        <f t="shared" ca="1" si="238"/>
        <v>469262866.82692307</v>
      </c>
      <c r="EH228" s="17">
        <v>-129845035.25100961</v>
      </c>
      <c r="EI228" s="17">
        <f t="shared" ca="1" si="239"/>
        <v>-129845035.25100961</v>
      </c>
      <c r="EK228" s="16">
        <f t="shared" ca="1" si="226"/>
        <v>0</v>
      </c>
      <c r="EL228" s="32" t="str">
        <f>IF(VLOOKUP(BP228,Fundamentus!A:U,3,FALSE)&lt;15,"Bom",IF(VLOOKUP(BP228,Fundamentus!A:U,3,FALSE)&gt;15,"Ruim","n/a"))</f>
        <v>Bom</v>
      </c>
      <c r="EM228" s="28" t="str">
        <f>IF(VLOOKUP(BP228,Fundamentus!A:U,4,FALSE)&lt;1,"Baixo",IF(VLOOKUP(BP228,Fundamentus!A:U,4,FALSE)&lt;1.5,"Moderado",IF(VLOOKUP(BP228,Fundamentus!A:U,4,FALSE)&gt;1.5,"Alto","n/a")))</f>
        <v>Baixo</v>
      </c>
      <c r="EN228" s="17" t="str">
        <f>IF(VLOOKUP(BP228,Fundamentus!A:U,8,FALSE)&lt;0,"Risco elevado",IF(VLOOKUP(BP228,Fundamentus!A:U,8,FALSE)&lt;1,"Saudável",IF(VLOOKUP(BP228,Fundamentus!A:U,8,FALSE)&lt;3,"Estável",IF(VLOOKUP(BP228,Fundamentus!A:U,8,FALSE)&gt;3,"Alerta","n/a"))))</f>
        <v>Saudável</v>
      </c>
      <c r="EO228" s="28" t="str">
        <f t="shared" si="240"/>
        <v>Ruim</v>
      </c>
      <c r="EP228" s="17" t="str">
        <f>IF(VLOOKUP(BP228,Fundamentus!A:U,12,FALSE)&lt;2,"Subvalorizada",IF(VLOOKUP(BP228,Fundamentus!A:U,12,FALSE)&lt;6,"Muita barata",IF(VLOOKUP(BP228,Fundamentus!A:U,12,FALSE)&lt;6,"Barata",IF(VLOOKUP(BP228,Fundamentus!A:U,12,FALSE)&lt;8,"Atrativa",IF(VLOOKUP(BP228,Fundamentus!A:U,12,FALSE)&gt;8,"Supervalorizada","n/a")))))</f>
        <v>Subvalorizada</v>
      </c>
      <c r="ER228" s="17" t="str">
        <f>IF(VLOOKUP(BP228,Fundamentus!A:U,17,FALSE)&lt;0.1,"Fraco retorno",IF(VLOOKUP(BP228,Fundamentus!A:U,17,FALSE)&gt;0.1,"Bom retorno","n/a"))</f>
        <v>Fraco retorno</v>
      </c>
      <c r="ES228" s="17" t="str">
        <f>IF(VLOOKUP(BP228,Fundamentus!A:U,16,FALSE)&lt;0.1,"Ineficiente",IF(VLOOKUP(BP228,Fundamentus!A:U,16,FALSE)&gt;0.1,"Eficiente","n/a"))</f>
        <v>Ineficiente</v>
      </c>
      <c r="ET228" s="33" t="str">
        <f>IF(VLOOKUP(BP228,Fundamentus!A:U,16,FALSE)&lt;0.1,"Oper. Ineficiente",IF(VLOOKUP(BP228,Fundamentus!A:U,16,FALSE)&gt;0.1,"Oper.Eficiente","n/a"))</f>
        <v>Oper. Ineficiente</v>
      </c>
      <c r="EU228" s="34">
        <f>VLOOKUP(BP228,Fundamentus!A:U,14,FALSE)</f>
        <v>-0.2767</v>
      </c>
      <c r="EV228" s="17" t="str">
        <f>IF(VLOOKUP(BP228,Fundamentus!A:U,21,FALSE)&lt;0,"Negativo",IF(VLOOKUP(BP228,Fundamentus!A:U,21,FALSE)&lt;0.05,"Fraco",IF(VLOOKUP(BP228,Fundamentus!A:U,21,FALSE)&lt;0.1,"Bom",IF(VLOOKUP(BP228,Fundamentus!A:U,21,FALSE)&gt;0.1,"Muito bom","n/a"))))</f>
        <v>Fraco</v>
      </c>
      <c r="EX228" s="29" t="str">
        <f>IF(VLOOKUP(BP228,Fundamentus!A:U,15,FALSE)&gt;1,"Bom",IF(VLOOKUP(BP228,Fundamentus!A:U,15,FALSE)&lt;1,"Ruim","n/a"))</f>
        <v>Bom</v>
      </c>
      <c r="EY228" s="17" t="str">
        <f>IF(VLOOKUP(BP228,Fundamentus!A:U,20,FALSE)&lt;0.5,"Baixa",IF(VLOOKUP(BP228,Fundamentus!A:U,20,FALSE)&lt;1,"Moderada",IF(VLOOKUP(BP228,Fundamentus!A:U,20,FALSE)&lt;2,"Alerta",IF(VLOOKUP(BP228,Fundamentus!A:U,20,FALSE)&gt;2,"Alta","n/a"))))</f>
        <v>Alta</v>
      </c>
    </row>
    <row r="229" spans="1:155" s="2" customFormat="1" ht="11.25" x14ac:dyDescent="0.2">
      <c r="A229" s="4">
        <v>3.39</v>
      </c>
      <c r="B229" s="4">
        <v>3.13</v>
      </c>
      <c r="C229" s="4">
        <v>3.11</v>
      </c>
      <c r="D229" s="4">
        <v>3.01</v>
      </c>
      <c r="E229" s="4">
        <v>2.87</v>
      </c>
      <c r="F229" s="4">
        <v>2.88</v>
      </c>
      <c r="G229" s="4">
        <v>3.03</v>
      </c>
      <c r="H229" s="4">
        <v>2.92</v>
      </c>
      <c r="I229" s="4">
        <v>2.69</v>
      </c>
      <c r="J229" s="4">
        <v>3.15</v>
      </c>
      <c r="K229" s="4">
        <v>3.36</v>
      </c>
      <c r="L229" s="4">
        <v>2.91</v>
      </c>
      <c r="M229" s="4">
        <v>2.86</v>
      </c>
      <c r="N229" s="4">
        <v>2.67</v>
      </c>
      <c r="O229" s="4">
        <v>3.13</v>
      </c>
      <c r="P229" s="4">
        <v>3.19</v>
      </c>
      <c r="Q229" s="4">
        <v>3.21</v>
      </c>
      <c r="R229" s="4">
        <v>3.13</v>
      </c>
      <c r="S229" s="4">
        <v>3.05</v>
      </c>
      <c r="T229" s="4">
        <v>3.04</v>
      </c>
      <c r="U229" s="4">
        <v>2.88</v>
      </c>
      <c r="V229" s="4">
        <v>2.85</v>
      </c>
      <c r="W229" s="4">
        <v>2.83</v>
      </c>
      <c r="X229" s="4">
        <v>3.27</v>
      </c>
      <c r="Y229" s="4">
        <v>3.15</v>
      </c>
      <c r="Z229" s="4">
        <v>3.17</v>
      </c>
      <c r="AA229" s="4">
        <v>2.93</v>
      </c>
      <c r="AB229" s="4">
        <v>2.93</v>
      </c>
      <c r="AC229" s="4">
        <v>2.8</v>
      </c>
      <c r="AD229" s="4">
        <v>2.71</v>
      </c>
      <c r="AE229" s="4">
        <v>2.64</v>
      </c>
      <c r="AF229" s="4">
        <v>2.37</v>
      </c>
      <c r="AG229" s="4">
        <v>2.37</v>
      </c>
      <c r="AH229" s="4">
        <v>2.4300000000000002</v>
      </c>
      <c r="AI229" s="4">
        <v>2.59</v>
      </c>
      <c r="AJ229" s="4">
        <v>2.65</v>
      </c>
      <c r="AK229" s="4">
        <v>2.76</v>
      </c>
      <c r="AL229" s="4">
        <v>2.7</v>
      </c>
      <c r="AM229" s="4">
        <v>2.67</v>
      </c>
      <c r="AN229" s="4">
        <v>2.7</v>
      </c>
      <c r="AO229" s="4">
        <v>2.66</v>
      </c>
      <c r="AP229" s="4">
        <v>3.13</v>
      </c>
      <c r="AQ229" s="4">
        <v>2.71</v>
      </c>
      <c r="AR229" s="4">
        <v>2.5299999999999998</v>
      </c>
      <c r="AS229" s="4">
        <v>2.4900000000000002</v>
      </c>
      <c r="AT229" s="4">
        <v>2.4</v>
      </c>
      <c r="AU229" s="4">
        <v>2.5350000000000001</v>
      </c>
      <c r="AV229" s="4">
        <v>2.72</v>
      </c>
      <c r="AW229" s="4">
        <v>3.23</v>
      </c>
      <c r="AX229" s="4">
        <v>3.81</v>
      </c>
      <c r="AY229" s="12">
        <v>3.75</v>
      </c>
      <c r="AZ229" s="12">
        <v>4.4000000000000004</v>
      </c>
      <c r="BA229" s="12">
        <v>4.2300000000000004</v>
      </c>
      <c r="BB229" s="15">
        <v>3.11</v>
      </c>
      <c r="BC229" s="52">
        <v>3.37</v>
      </c>
      <c r="BD229" s="52">
        <v>3.09</v>
      </c>
      <c r="BE229" s="52">
        <v>3.01</v>
      </c>
      <c r="BF229" s="52">
        <v>3.06</v>
      </c>
      <c r="BG229" s="67">
        <v>3.05</v>
      </c>
      <c r="BH229" s="52">
        <v>3.05</v>
      </c>
      <c r="BI229" s="52">
        <v>3.05</v>
      </c>
      <c r="BJ229" s="52">
        <v>3.22</v>
      </c>
      <c r="BK229" s="52">
        <v>3.21</v>
      </c>
      <c r="BL229" s="52">
        <v>3.62</v>
      </c>
      <c r="BM229" s="52">
        <v>3.5</v>
      </c>
      <c r="BN229" s="52">
        <v>3.49</v>
      </c>
      <c r="BO229" s="52" cm="1">
        <f t="array" aca="1" ref="BO229" ca="1">_FV(EC229,"Preço")</f>
        <v>3.49</v>
      </c>
      <c r="BP229" s="69" t="s">
        <v>225</v>
      </c>
      <c r="BQ229" s="36" cm="1">
        <f t="array" aca="1" ref="BQ229" ca="1">_FV(EC229,"Média de volume",TRUE)</f>
        <v>9401900</v>
      </c>
      <c r="BR229" s="36">
        <v>5937500</v>
      </c>
      <c r="BS229" s="36" cm="1">
        <f t="array" aca="1" ref="BS229" ca="1">_FV(EC229,"Volume")</f>
        <v>5937500</v>
      </c>
      <c r="BT229" s="24" cm="1">
        <f t="array" aca="1" ref="BT229" ca="1">_FV(EC229,"Beta")</f>
        <v>1.9837</v>
      </c>
      <c r="BU229" s="71" cm="1">
        <f t="array" aca="1" ref="BU229" ca="1">_FV(EC229,"Variação (%)",TRUE)</f>
        <v>-8.5229999999999993E-3</v>
      </c>
      <c r="BW229" s="17" cm="1">
        <f t="array" aca="1" ref="BW229" ca="1">_FV(EC229,"Baixo")</f>
        <v>3.47</v>
      </c>
      <c r="BX229" s="17" cm="1">
        <f t="array" aca="1" ref="BX229" ca="1">_FV(EC229,"Alto")</f>
        <v>3.62</v>
      </c>
      <c r="BY229" s="24"/>
      <c r="BZ229" s="63" t="e">
        <f ca="1">SQRT(22.5*(BO229/VLOOKUP(BP229,Fundamentus!A:U,3,FALSE))*(BO229/VLOOKUP(BP229,Fundamentus!A:U,4,FALSE)))</f>
        <v>#NUM!</v>
      </c>
      <c r="CB229" s="62">
        <f t="shared" ca="1" si="241"/>
        <v>0</v>
      </c>
      <c r="CC229" s="8"/>
      <c r="CD229" s="61">
        <f t="shared" si="242"/>
        <v>2.37</v>
      </c>
      <c r="CE229" s="61">
        <f t="shared" si="243"/>
        <v>4.4000000000000004</v>
      </c>
      <c r="CF229" s="61">
        <f t="shared" si="244"/>
        <v>3.0084090909090921</v>
      </c>
      <c r="CG229" s="14"/>
      <c r="CH229" s="35">
        <f t="shared" si="227"/>
        <v>3.3067561881770757</v>
      </c>
      <c r="CI229" s="15">
        <f t="shared" si="245"/>
        <v>3.6349999999999341</v>
      </c>
      <c r="CJ229" s="35">
        <f t="shared" si="228"/>
        <v>3.9632438118227924</v>
      </c>
      <c r="CL229" s="14"/>
      <c r="CM229" s="17">
        <f t="shared" si="229"/>
        <v>0.41000000000000014</v>
      </c>
      <c r="CN229" s="17">
        <f t="shared" si="230"/>
        <v>1.3900000000000001</v>
      </c>
      <c r="CO229" s="17">
        <f t="shared" si="231"/>
        <v>2.4400000000000004</v>
      </c>
      <c r="CP229" s="38">
        <f t="shared" si="246"/>
        <v>3.4200000000000004</v>
      </c>
      <c r="CQ229" s="17">
        <f t="shared" si="232"/>
        <v>4.4700000000000006</v>
      </c>
      <c r="CR229" s="17">
        <f t="shared" si="233"/>
        <v>5.4500000000000011</v>
      </c>
      <c r="CS229" s="17">
        <f t="shared" si="234"/>
        <v>6.5000000000000009</v>
      </c>
      <c r="CT229" s="2" cm="1">
        <f t="array" aca="1" ref="CT229" ca="1">MAX(_xlfn._xlws.FILTER(CM229:CS229,CM229:CS229&lt;BO229))</f>
        <v>3.4200000000000004</v>
      </c>
      <c r="CU229" s="2" cm="1">
        <f t="array" aca="1" ref="CU229" ca="1">MIN(_xlfn._xlws.FILTER($CM229:$CS229,$CM229:$CS229&gt;BO229))</f>
        <v>4.4700000000000006</v>
      </c>
      <c r="CV229" s="16">
        <f t="shared" ca="1" si="248"/>
        <v>0.30701754385964919</v>
      </c>
      <c r="CW229" s="20">
        <f t="shared" ca="1" si="249"/>
        <v>-0.15350877192982459</v>
      </c>
      <c r="CX229" s="20">
        <f t="shared" ca="1" si="250"/>
        <v>-0.10233918128654973</v>
      </c>
      <c r="CY229" s="20">
        <f t="shared" ca="1" si="251"/>
        <v>-6.1403508771929835E-2</v>
      </c>
      <c r="CZ229" s="20">
        <f t="shared" ca="1" si="252"/>
        <v>-3.4113060428849908E-2</v>
      </c>
      <c r="DA229" s="20">
        <f t="shared" ca="1" si="253"/>
        <v>-1.8059855521155833E-2</v>
      </c>
      <c r="DB229" s="20">
        <f t="shared" ca="1" si="254"/>
        <v>-9.303561935140885E-3</v>
      </c>
      <c r="DC229" s="20">
        <f t="shared" ca="1" si="255"/>
        <v>-4.7233468286099877E-3</v>
      </c>
      <c r="DD229" s="21">
        <f t="shared" ca="1" si="256"/>
        <v>4.7233468286099877E-3</v>
      </c>
      <c r="DE229" s="21">
        <f t="shared" ca="1" si="257"/>
        <v>9.303561935140885E-3</v>
      </c>
      <c r="DF229" s="21">
        <f t="shared" ca="1" si="258"/>
        <v>1.8059855521155833E-2</v>
      </c>
      <c r="DG229" s="21">
        <f t="shared" ca="1" si="259"/>
        <v>3.4113060428849908E-2</v>
      </c>
      <c r="DH229" s="21">
        <f t="shared" ca="1" si="260"/>
        <v>6.1403508771929835E-2</v>
      </c>
      <c r="DI229" s="21">
        <f t="shared" ca="1" si="261"/>
        <v>0.10233918128654973</v>
      </c>
      <c r="DJ229" s="21">
        <f t="shared" ca="1" si="262"/>
        <v>0.15350877192982459</v>
      </c>
      <c r="DL229" s="16" cm="1">
        <f t="array" aca="1" ref="DL229" ca="1">MAX(_xlfn._xlws.FILTER(CW229:DJ229,CW229:DJ229&lt;BU229))</f>
        <v>-9.303561935140885E-3</v>
      </c>
      <c r="DM229" s="16" cm="1">
        <f t="array" aca="1" ref="DM229" ca="1">MIN(_xlfn._xlws.FILTER(CW229:DJ229,CW229:DJ229&gt;BU229))</f>
        <v>-4.7233468286099877E-3</v>
      </c>
      <c r="DN229" s="2" cm="1">
        <f t="array" aca="1" ref="DN229" ca="1">_FV(EC229,"Fechamento anterior",TRUE)</f>
        <v>3.52</v>
      </c>
      <c r="DO229" s="28">
        <f t="shared" ca="1" si="235"/>
        <v>0.17047991071429355</v>
      </c>
      <c r="DP229" s="15">
        <f t="shared" ca="1" si="263"/>
        <v>3.4872514619883042</v>
      </c>
      <c r="DQ229" s="15">
        <f t="shared" ca="1" si="264"/>
        <v>3.503373819163293</v>
      </c>
      <c r="DR229" s="9"/>
      <c r="DS229" s="9"/>
      <c r="DT229" s="9"/>
      <c r="DU229" s="89">
        <v>9.7134818982749678E-3</v>
      </c>
      <c r="DV229" s="89">
        <f t="shared" ca="1" si="236"/>
        <v>4.5802151065308973E-3</v>
      </c>
      <c r="DW229" s="72">
        <f t="shared" ca="1" si="237"/>
        <v>-0.4417448091243385</v>
      </c>
      <c r="DX229" s="37"/>
      <c r="DY229" s="35">
        <f t="shared" si="247"/>
        <v>0.16412190591142917</v>
      </c>
      <c r="DZ229" s="56"/>
      <c r="EA229" s="56"/>
      <c r="EC229" s="2" t="e" vm="231">
        <v>#VALUE!</v>
      </c>
      <c r="EE229" s="10" cm="1">
        <f t="array" aca="1" ref="EE229" ca="1">_FV(EC229,"Ações em circulação",TRUE)</f>
        <v>490392000</v>
      </c>
      <c r="EF229" s="18">
        <f>VLOOKUP(BP229,Fundamentus!A:U,5,FALSE)</f>
        <v>8.8999999999999996E-2</v>
      </c>
      <c r="EG229" s="2">
        <f t="shared" ca="1" si="238"/>
        <v>19229978426.966293</v>
      </c>
      <c r="EH229" s="17">
        <v>-1938381825.4382024</v>
      </c>
      <c r="EI229" s="17">
        <f t="shared" ca="1" si="239"/>
        <v>-1938381825.4382024</v>
      </c>
      <c r="EK229" s="16">
        <f t="shared" ca="1" si="226"/>
        <v>0</v>
      </c>
      <c r="EL229" s="32" t="str">
        <f>IF(VLOOKUP(BP229,Fundamentus!A:U,3,FALSE)&lt;15,"Bom",IF(VLOOKUP(BP229,Fundamentus!A:U,3,FALSE)&gt;15,"Ruim","n/a"))</f>
        <v>Bom</v>
      </c>
      <c r="EM229" s="28" t="str">
        <f>IF(VLOOKUP(BP229,Fundamentus!A:U,4,FALSE)&lt;1,"Baixo",IF(VLOOKUP(BP229,Fundamentus!A:U,4,FALSE)&lt;1.5,"Moderado",IF(VLOOKUP(BP229,Fundamentus!A:U,4,FALSE)&gt;1.5,"Alto","n/a")))</f>
        <v>Baixo</v>
      </c>
      <c r="EN229" s="17" t="str">
        <f>IF(VLOOKUP(BP229,Fundamentus!A:U,8,FALSE)&lt;0,"Risco elevado",IF(VLOOKUP(BP229,Fundamentus!A:U,8,FALSE)&lt;1,"Saudável",IF(VLOOKUP(BP229,Fundamentus!A:U,8,FALSE)&lt;3,"Estável",IF(VLOOKUP(BP229,Fundamentus!A:U,8,FALSE)&gt;3,"Alerta","n/a"))))</f>
        <v>Risco elevado</v>
      </c>
      <c r="EO229" s="28" t="str">
        <f t="shared" si="240"/>
        <v>Ruim</v>
      </c>
      <c r="EP229" s="17" t="str">
        <f>IF(VLOOKUP(BP229,Fundamentus!A:U,12,FALSE)&lt;2,"Subvalorizada",IF(VLOOKUP(BP229,Fundamentus!A:U,12,FALSE)&lt;6,"Muita barata",IF(VLOOKUP(BP229,Fundamentus!A:U,12,FALSE)&lt;6,"Barata",IF(VLOOKUP(BP229,Fundamentus!A:U,12,FALSE)&lt;8,"Atrativa",IF(VLOOKUP(BP229,Fundamentus!A:U,12,FALSE)&gt;8,"Supervalorizada","n/a")))))</f>
        <v>Subvalorizada</v>
      </c>
      <c r="ER229" s="17" t="str">
        <f>IF(VLOOKUP(BP229,Fundamentus!A:U,17,FALSE)&lt;0.1,"Fraco retorno",IF(VLOOKUP(BP229,Fundamentus!A:U,17,FALSE)&gt;0.1,"Bom retorno","n/a"))</f>
        <v>Fraco retorno</v>
      </c>
      <c r="ES229" s="17" t="str">
        <f>IF(VLOOKUP(BP229,Fundamentus!A:U,16,FALSE)&lt;0.1,"Ineficiente",IF(VLOOKUP(BP229,Fundamentus!A:U,16,FALSE)&gt;0.1,"Eficiente","n/a"))</f>
        <v>Eficiente</v>
      </c>
      <c r="ET229" s="33" t="str">
        <f>IF(VLOOKUP(BP229,Fundamentus!A:U,16,FALSE)&lt;0.1,"Oper. Ineficiente",IF(VLOOKUP(BP229,Fundamentus!A:U,16,FALSE)&gt;0.1,"Oper.Eficiente","n/a"))</f>
        <v>Oper.Eficiente</v>
      </c>
      <c r="EU229" s="34">
        <f>VLOOKUP(BP229,Fundamentus!A:U,14,FALSE)</f>
        <v>-0.1008</v>
      </c>
      <c r="EV229" s="17" t="str">
        <f>IF(VLOOKUP(BP229,Fundamentus!A:U,21,FALSE)&lt;0,"Negativo",IF(VLOOKUP(BP229,Fundamentus!A:U,21,FALSE)&lt;0.05,"Fraco",IF(VLOOKUP(BP229,Fundamentus!A:U,21,FALSE)&lt;0.1,"Bom",IF(VLOOKUP(BP229,Fundamentus!A:U,21,FALSE)&gt;0.1,"Muito bom","n/a"))))</f>
        <v>Negativo</v>
      </c>
      <c r="EX229" s="29" t="str">
        <f>IF(VLOOKUP(BP229,Fundamentus!A:U,15,FALSE)&gt;1,"Bom",IF(VLOOKUP(BP229,Fundamentus!A:U,15,FALSE)&lt;1,"Ruim","n/a"))</f>
        <v>Ruim</v>
      </c>
      <c r="EY229" s="17" t="str">
        <f>IF(VLOOKUP(BP229,Fundamentus!A:U,20,FALSE)&lt;0.5,"Baixa",IF(VLOOKUP(BP229,Fundamentus!A:U,20,FALSE)&lt;1,"Moderada",IF(VLOOKUP(BP229,Fundamentus!A:U,20,FALSE)&lt;2,"Alerta",IF(VLOOKUP(BP229,Fundamentus!A:U,20,FALSE)&gt;2,"Alta","n/a"))))</f>
        <v>Alerta</v>
      </c>
    </row>
    <row r="230" spans="1:155" s="2" customFormat="1" ht="11.25" x14ac:dyDescent="0.2">
      <c r="A230" s="4">
        <v>4.6500000000000004</v>
      </c>
      <c r="B230" s="4">
        <v>4.7</v>
      </c>
      <c r="C230" s="4">
        <v>5.88</v>
      </c>
      <c r="D230" s="4">
        <v>5.34</v>
      </c>
      <c r="E230" s="4">
        <v>5.3</v>
      </c>
      <c r="F230" s="4">
        <v>5.38</v>
      </c>
      <c r="G230" s="4">
        <v>5.86</v>
      </c>
      <c r="H230" s="4">
        <v>5.38</v>
      </c>
      <c r="I230" s="4">
        <v>5.88</v>
      </c>
      <c r="J230" s="4">
        <v>6.19</v>
      </c>
      <c r="K230" s="4">
        <v>6.09</v>
      </c>
      <c r="L230" s="4">
        <v>5.79</v>
      </c>
      <c r="M230" s="4">
        <v>5.84</v>
      </c>
      <c r="N230" s="4">
        <v>5.63</v>
      </c>
      <c r="O230" s="4">
        <v>6.37</v>
      </c>
      <c r="P230" s="4">
        <v>6.22</v>
      </c>
      <c r="Q230" s="4">
        <v>6.35</v>
      </c>
      <c r="R230" s="4">
        <v>6.9</v>
      </c>
      <c r="S230" s="4">
        <v>4.1900000000000004</v>
      </c>
      <c r="T230" s="4">
        <v>4.37</v>
      </c>
      <c r="U230" s="4">
        <v>4.17</v>
      </c>
      <c r="V230" s="4">
        <v>4.12</v>
      </c>
      <c r="W230" s="4">
        <v>3.76</v>
      </c>
      <c r="X230" s="4">
        <v>3.5</v>
      </c>
      <c r="Y230" s="4">
        <v>3.51</v>
      </c>
      <c r="Z230" s="4">
        <v>3.51</v>
      </c>
      <c r="AA230" s="4">
        <v>3.4</v>
      </c>
      <c r="AB230" s="4">
        <v>3.44</v>
      </c>
      <c r="AC230" s="4">
        <v>3.34</v>
      </c>
      <c r="AD230" s="4">
        <v>3.2</v>
      </c>
      <c r="AE230" s="4">
        <v>3.2</v>
      </c>
      <c r="AF230" s="4">
        <v>3.17</v>
      </c>
      <c r="AG230" s="4">
        <v>2.95</v>
      </c>
      <c r="AH230" s="4">
        <v>2.65</v>
      </c>
      <c r="AI230" s="4">
        <v>2.82</v>
      </c>
      <c r="AJ230" s="4">
        <v>2.61</v>
      </c>
      <c r="AK230" s="4">
        <v>2.74</v>
      </c>
      <c r="AL230" s="4">
        <v>3.06</v>
      </c>
      <c r="AM230" s="4">
        <v>3.07</v>
      </c>
      <c r="AN230" s="4">
        <v>3.21</v>
      </c>
      <c r="AO230" s="4">
        <v>3.83</v>
      </c>
      <c r="AP230" s="4">
        <v>3.93</v>
      </c>
      <c r="AQ230" s="4">
        <v>3.42</v>
      </c>
      <c r="AR230" s="4">
        <v>3.22</v>
      </c>
      <c r="AS230" s="4">
        <v>3.51</v>
      </c>
      <c r="AT230" s="4">
        <v>3.57</v>
      </c>
      <c r="AU230" s="4">
        <v>3.76</v>
      </c>
      <c r="AV230" s="4">
        <v>3.47</v>
      </c>
      <c r="AW230" s="4">
        <v>3.13</v>
      </c>
      <c r="AX230" s="4">
        <v>3.29</v>
      </c>
      <c r="AY230" s="12">
        <v>3.88</v>
      </c>
      <c r="AZ230" s="12">
        <v>6.1</v>
      </c>
      <c r="BA230" s="12">
        <v>6.42</v>
      </c>
      <c r="BB230" s="15">
        <v>7.45</v>
      </c>
      <c r="BC230" s="52">
        <v>8.35</v>
      </c>
      <c r="BD230" s="52">
        <v>7.28</v>
      </c>
      <c r="BE230" s="52">
        <v>8.02</v>
      </c>
      <c r="BF230" s="52">
        <v>7.44</v>
      </c>
      <c r="BG230" s="67">
        <v>7.06</v>
      </c>
      <c r="BH230" s="52">
        <v>6.99</v>
      </c>
      <c r="BI230" s="52">
        <v>7.06</v>
      </c>
      <c r="BJ230" s="52">
        <v>6.95</v>
      </c>
      <c r="BK230" s="52">
        <v>7.33</v>
      </c>
      <c r="BL230" s="52">
        <v>6.76</v>
      </c>
      <c r="BM230" s="52">
        <v>5.9</v>
      </c>
      <c r="BN230" s="52">
        <v>5.48</v>
      </c>
      <c r="BO230" s="52" cm="1">
        <f t="array" aca="1" ref="BO230" ca="1">_FV(EC230,"Preço")</f>
        <v>5.48</v>
      </c>
      <c r="BP230" s="69" t="s">
        <v>226</v>
      </c>
      <c r="BQ230" s="36" cm="1">
        <f t="array" aca="1" ref="BQ230" ca="1">_FV(EC230,"Média de volume",TRUE)</f>
        <v>3090350</v>
      </c>
      <c r="BR230" s="36">
        <v>2768600</v>
      </c>
      <c r="BS230" s="36" cm="1">
        <f t="array" aca="1" ref="BS230" ca="1">_FV(EC230,"Volume")</f>
        <v>2768600</v>
      </c>
      <c r="BT230" s="24" cm="1">
        <f t="array" aca="1" ref="BT230" ca="1">_FV(EC230,"Beta")</f>
        <v>1.9372</v>
      </c>
      <c r="BU230" s="71" cm="1">
        <f t="array" aca="1" ref="BU230" ca="1">_FV(EC230,"Variação (%)",TRUE)</f>
        <v>-3.5210999999999999E-2</v>
      </c>
      <c r="BW230" s="17" cm="1">
        <f t="array" aca="1" ref="BW230" ca="1">_FV(EC230,"Baixo")</f>
        <v>5.44</v>
      </c>
      <c r="BX230" s="17" cm="1">
        <f t="array" aca="1" ref="BX230" ca="1">_FV(EC230,"Alto")</f>
        <v>5.76</v>
      </c>
      <c r="BY230" s="24"/>
      <c r="BZ230" s="63" t="e">
        <f ca="1">SQRT(22.5*(BO230/VLOOKUP(BP230,Fundamentus!A:U,3,FALSE))*(BO230/VLOOKUP(BP230,Fundamentus!A:U,4,FALSE)))</f>
        <v>#NUM!</v>
      </c>
      <c r="CB230" s="62">
        <f t="shared" ca="1" si="241"/>
        <v>0</v>
      </c>
      <c r="CC230" s="8"/>
      <c r="CD230" s="61">
        <f t="shared" si="242"/>
        <v>2.61</v>
      </c>
      <c r="CE230" s="61">
        <f t="shared" si="243"/>
        <v>8.35</v>
      </c>
      <c r="CF230" s="61">
        <f t="shared" si="244"/>
        <v>4.8687878787878773</v>
      </c>
      <c r="CG230" s="14"/>
      <c r="CH230" s="35">
        <f t="shared" si="227"/>
        <v>3.391502275211542</v>
      </c>
      <c r="CI230" s="15">
        <f t="shared" si="245"/>
        <v>4.7650000000003274</v>
      </c>
      <c r="CJ230" s="35">
        <f t="shared" si="228"/>
        <v>6.1384977247891133</v>
      </c>
      <c r="CL230" s="14"/>
      <c r="CM230" s="17">
        <f t="shared" si="229"/>
        <v>-3.1300000000000003</v>
      </c>
      <c r="CN230" s="17">
        <f t="shared" si="230"/>
        <v>-0.26000000000000068</v>
      </c>
      <c r="CO230" s="17">
        <f t="shared" si="231"/>
        <v>2.6099999999999994</v>
      </c>
      <c r="CP230" s="38">
        <f t="shared" si="246"/>
        <v>5.4799999999999995</v>
      </c>
      <c r="CQ230" s="17">
        <f t="shared" si="232"/>
        <v>8.35</v>
      </c>
      <c r="CR230" s="17">
        <f t="shared" si="233"/>
        <v>11.219999999999999</v>
      </c>
      <c r="CS230" s="17">
        <f t="shared" si="234"/>
        <v>14.09</v>
      </c>
      <c r="CT230" s="2" cm="1">
        <f t="array" aca="1" ref="CT230" ca="1">MAX(_xlfn._xlws.FILTER(CM230:CS230,CM230:CS230&lt;BO230))</f>
        <v>2.6099999999999994</v>
      </c>
      <c r="CU230" s="2" cm="1">
        <f t="array" aca="1" ref="CU230" ca="1">MIN(_xlfn._xlws.FILTER($CM230:$CS230,$CM230:$CS230&gt;BO230))</f>
        <v>8.35</v>
      </c>
      <c r="CV230" s="16">
        <f t="shared" ca="1" si="248"/>
        <v>2.1992337164750961</v>
      </c>
      <c r="CW230" s="20">
        <f t="shared" ca="1" si="249"/>
        <v>-1.0996168582375481</v>
      </c>
      <c r="CX230" s="20">
        <f t="shared" ca="1" si="250"/>
        <v>-0.73307790549169871</v>
      </c>
      <c r="CY230" s="20">
        <f t="shared" ca="1" si="251"/>
        <v>-0.43984674329501922</v>
      </c>
      <c r="CZ230" s="20">
        <f t="shared" ca="1" si="252"/>
        <v>-0.24435930183056623</v>
      </c>
      <c r="DA230" s="20">
        <f t="shared" ca="1" si="253"/>
        <v>-0.12936668920441741</v>
      </c>
      <c r="DB230" s="20">
        <f t="shared" ca="1" si="254"/>
        <v>-6.6643445953790792E-2</v>
      </c>
      <c r="DC230" s="20">
        <f t="shared" ca="1" si="255"/>
        <v>-3.3834364868847631E-2</v>
      </c>
      <c r="DD230" s="21">
        <f t="shared" ca="1" si="256"/>
        <v>3.3834364868847631E-2</v>
      </c>
      <c r="DE230" s="21">
        <f t="shared" ca="1" si="257"/>
        <v>6.6643445953790792E-2</v>
      </c>
      <c r="DF230" s="21">
        <f t="shared" ca="1" si="258"/>
        <v>0.12936668920441741</v>
      </c>
      <c r="DG230" s="21">
        <f t="shared" ca="1" si="259"/>
        <v>0.24435930183056623</v>
      </c>
      <c r="DH230" s="21">
        <f t="shared" ca="1" si="260"/>
        <v>0.43984674329501922</v>
      </c>
      <c r="DI230" s="21">
        <f t="shared" ca="1" si="261"/>
        <v>0.73307790549169871</v>
      </c>
      <c r="DJ230" s="21">
        <f t="shared" ca="1" si="262"/>
        <v>1.0996168582375481</v>
      </c>
      <c r="DL230" s="16" cm="1">
        <f t="array" aca="1" ref="DL230" ca="1">MAX(_xlfn._xlws.FILTER(CW230:DJ230,CW230:DJ230&lt;BU230))</f>
        <v>-6.6643445953790792E-2</v>
      </c>
      <c r="DM230" s="16" cm="1">
        <f t="array" aca="1" ref="DM230" ca="1">MIN(_xlfn._xlws.FILTER(CW230:DJ230,CW230:DJ230&gt;BU230))</f>
        <v>-3.3834364868847631E-2</v>
      </c>
      <c r="DN230" s="2" cm="1">
        <f t="array" aca="1" ref="DN230" ca="1">_FV(EC230,"Fechamento anterior",TRUE)</f>
        <v>5.68</v>
      </c>
      <c r="DO230" s="28">
        <f t="shared" ca="1" si="235"/>
        <v>0.95803287714089991</v>
      </c>
      <c r="DP230" s="15">
        <f t="shared" ca="1" si="263"/>
        <v>5.3014652269824678</v>
      </c>
      <c r="DQ230" s="15">
        <f t="shared" ca="1" si="264"/>
        <v>5.4878208075449448</v>
      </c>
      <c r="DR230" s="9"/>
      <c r="DS230" s="9"/>
      <c r="DT230" s="9"/>
      <c r="DU230" s="89">
        <v>2.1707262900718151E-2</v>
      </c>
      <c r="DV230" s="89">
        <f t="shared" ca="1" si="236"/>
        <v>3.2809081084943161E-2</v>
      </c>
      <c r="DW230" s="72">
        <f t="shared" ca="1" si="237"/>
        <v>0.52056875457119867</v>
      </c>
      <c r="DX230" s="37"/>
      <c r="DY230" s="35">
        <f t="shared" si="247"/>
        <v>0.6867488623943927</v>
      </c>
      <c r="DZ230" s="56"/>
      <c r="EA230" s="56"/>
      <c r="EC230" s="2" t="e" vm="232">
        <v>#VALUE!</v>
      </c>
      <c r="EE230" s="10" cm="1">
        <f t="array" aca="1" ref="EE230" ca="1">_FV(EC230,"Ações em circulação",TRUE)</f>
        <v>112781000</v>
      </c>
      <c r="EF230" s="18">
        <f>VLOOKUP(BP230,Fundamentus!A:U,5,FALSE)</f>
        <v>1.7569999999999999</v>
      </c>
      <c r="EG230" s="2">
        <f t="shared" ca="1" si="238"/>
        <v>351758611.26920891</v>
      </c>
      <c r="EH230" s="17">
        <v>-18748733.980648834</v>
      </c>
      <c r="EI230" s="17">
        <f t="shared" ca="1" si="239"/>
        <v>-18748733.980648834</v>
      </c>
      <c r="EK230" s="16">
        <f t="shared" ca="1" si="226"/>
        <v>0</v>
      </c>
      <c r="EL230" s="32" t="str">
        <f>IF(VLOOKUP(BP230,Fundamentus!A:U,3,FALSE)&lt;15,"Bom",IF(VLOOKUP(BP230,Fundamentus!A:U,3,FALSE)&gt;15,"Ruim","n/a"))</f>
        <v>Bom</v>
      </c>
      <c r="EM230" s="28" t="str">
        <f>IF(VLOOKUP(BP230,Fundamentus!A:U,4,FALSE)&lt;1,"Baixo",IF(VLOOKUP(BP230,Fundamentus!A:U,4,FALSE)&lt;1.5,"Moderado",IF(VLOOKUP(BP230,Fundamentus!A:U,4,FALSE)&gt;1.5,"Alto","n/a")))</f>
        <v>Alto</v>
      </c>
      <c r="EN230" s="17" t="str">
        <f>IF(VLOOKUP(BP230,Fundamentus!A:U,8,FALSE)&lt;0,"Risco elevado",IF(VLOOKUP(BP230,Fundamentus!A:U,8,FALSE)&lt;1,"Saudável",IF(VLOOKUP(BP230,Fundamentus!A:U,8,FALSE)&lt;3,"Estável",IF(VLOOKUP(BP230,Fundamentus!A:U,8,FALSE)&gt;3,"Alerta","n/a"))))</f>
        <v>Alerta</v>
      </c>
      <c r="EO230" s="28" t="str">
        <f t="shared" si="240"/>
        <v>Bom</v>
      </c>
      <c r="EP230" s="17" t="str">
        <f>IF(VLOOKUP(BP230,Fundamentus!A:U,12,FALSE)&lt;2,"Subvalorizada",IF(VLOOKUP(BP230,Fundamentus!A:U,12,FALSE)&lt;6,"Muita barata",IF(VLOOKUP(BP230,Fundamentus!A:U,12,FALSE)&lt;6,"Barata",IF(VLOOKUP(BP230,Fundamentus!A:U,12,FALSE)&lt;8,"Atrativa",IF(VLOOKUP(BP230,Fundamentus!A:U,12,FALSE)&gt;8,"Supervalorizada","n/a")))))</f>
        <v>Subvalorizada</v>
      </c>
      <c r="ER230" s="17" t="str">
        <f>IF(VLOOKUP(BP230,Fundamentus!A:U,17,FALSE)&lt;0.1,"Fraco retorno",IF(VLOOKUP(BP230,Fundamentus!A:U,17,FALSE)&gt;0.1,"Bom retorno","n/a"))</f>
        <v>Fraco retorno</v>
      </c>
      <c r="ES230" s="17" t="str">
        <f>IF(VLOOKUP(BP230,Fundamentus!A:U,16,FALSE)&lt;0.1,"Ineficiente",IF(VLOOKUP(BP230,Fundamentus!A:U,16,FALSE)&gt;0.1,"Eficiente","n/a"))</f>
        <v>Ineficiente</v>
      </c>
      <c r="ET230" s="33" t="str">
        <f>IF(VLOOKUP(BP230,Fundamentus!A:U,16,FALSE)&lt;0.1,"Oper. Ineficiente",IF(VLOOKUP(BP230,Fundamentus!A:U,16,FALSE)&gt;0.1,"Oper.Eficiente","n/a"))</f>
        <v>Oper. Ineficiente</v>
      </c>
      <c r="EU230" s="34">
        <f>VLOOKUP(BP230,Fundamentus!A:U,14,FALSE)</f>
        <v>-5.33E-2</v>
      </c>
      <c r="EV230" s="17" t="str">
        <f>IF(VLOOKUP(BP230,Fundamentus!A:U,21,FALSE)&lt;0,"Negativo",IF(VLOOKUP(BP230,Fundamentus!A:U,21,FALSE)&lt;0.05,"Fraco",IF(VLOOKUP(BP230,Fundamentus!A:U,21,FALSE)&lt;0.1,"Bom",IF(VLOOKUP(BP230,Fundamentus!A:U,21,FALSE)&gt;0.1,"Muito bom","n/a"))))</f>
        <v>Muito bom</v>
      </c>
      <c r="EX230" s="29" t="str">
        <f>IF(VLOOKUP(BP230,Fundamentus!A:U,15,FALSE)&gt;1,"Bom",IF(VLOOKUP(BP230,Fundamentus!A:U,15,FALSE)&lt;1,"Ruim","n/a"))</f>
        <v>Bom</v>
      </c>
      <c r="EY230" s="17" t="str">
        <f>IF(VLOOKUP(BP230,Fundamentus!A:U,20,FALSE)&lt;0.5,"Baixa",IF(VLOOKUP(BP230,Fundamentus!A:U,20,FALSE)&lt;1,"Moderada",IF(VLOOKUP(BP230,Fundamentus!A:U,20,FALSE)&lt;2,"Alerta",IF(VLOOKUP(BP230,Fundamentus!A:U,20,FALSE)&gt;2,"Alta","n/a"))))</f>
        <v>Baixa</v>
      </c>
    </row>
    <row r="231" spans="1:155" s="2" customFormat="1" ht="11.25" x14ac:dyDescent="0.2">
      <c r="A231" s="4">
        <v>4.9800000000000004</v>
      </c>
      <c r="B231" s="4">
        <v>4.92</v>
      </c>
      <c r="C231" s="4">
        <v>4.83</v>
      </c>
      <c r="D231" s="4">
        <v>4.62</v>
      </c>
      <c r="E231" s="4">
        <v>4.4000000000000004</v>
      </c>
      <c r="F231" s="4">
        <v>3.77</v>
      </c>
      <c r="G231" s="4">
        <v>3.75</v>
      </c>
      <c r="H231" s="4">
        <v>3.77</v>
      </c>
      <c r="I231" s="4">
        <v>3.79</v>
      </c>
      <c r="J231" s="4">
        <v>3.93</v>
      </c>
      <c r="K231" s="4">
        <v>4.05</v>
      </c>
      <c r="L231" s="4">
        <v>4.1500000000000004</v>
      </c>
      <c r="M231" s="4">
        <v>4.08</v>
      </c>
      <c r="N231" s="4">
        <v>4.5999999999999996</v>
      </c>
      <c r="O231" s="4">
        <v>4.28</v>
      </c>
      <c r="P231" s="4">
        <v>4.22</v>
      </c>
      <c r="Q231" s="4">
        <v>4.12</v>
      </c>
      <c r="R231" s="4">
        <v>4.1500000000000004</v>
      </c>
      <c r="S231" s="4">
        <v>4.05</v>
      </c>
      <c r="T231" s="4">
        <v>4.01</v>
      </c>
      <c r="U231" s="4">
        <v>3.91</v>
      </c>
      <c r="V231" s="4">
        <v>4.01</v>
      </c>
      <c r="W231" s="4">
        <v>3.92</v>
      </c>
      <c r="X231" s="4">
        <v>3.8</v>
      </c>
      <c r="Y231" s="4">
        <v>3.71</v>
      </c>
      <c r="Z231" s="4">
        <v>3.7</v>
      </c>
      <c r="AA231" s="4">
        <v>3.79</v>
      </c>
      <c r="AB231" s="4">
        <v>3.64</v>
      </c>
      <c r="AC231" s="4">
        <v>3.56</v>
      </c>
      <c r="AD231" s="4">
        <v>3.48</v>
      </c>
      <c r="AE231" s="4">
        <v>3.2</v>
      </c>
      <c r="AF231" s="4">
        <v>7.31</v>
      </c>
      <c r="AG231" s="4">
        <v>6.84</v>
      </c>
      <c r="AH231" s="4">
        <v>6.61</v>
      </c>
      <c r="AI231" s="4">
        <v>6.57</v>
      </c>
      <c r="AJ231" s="4">
        <v>5.8</v>
      </c>
      <c r="AK231" s="4">
        <v>5.61</v>
      </c>
      <c r="AL231" s="4">
        <v>5.6</v>
      </c>
      <c r="AM231" s="4">
        <v>5.37</v>
      </c>
      <c r="AN231" s="4">
        <v>5.47</v>
      </c>
      <c r="AO231" s="4">
        <v>5.25</v>
      </c>
      <c r="AP231" s="4">
        <v>5.19</v>
      </c>
      <c r="AQ231" s="4">
        <v>5.64</v>
      </c>
      <c r="AR231" s="4">
        <v>5.25</v>
      </c>
      <c r="AS231" s="4">
        <v>4.97</v>
      </c>
      <c r="AT231" s="4">
        <v>3.7</v>
      </c>
      <c r="AU231" s="4">
        <v>3.835</v>
      </c>
      <c r="AV231" s="4">
        <v>3.72</v>
      </c>
      <c r="AW231" s="4">
        <v>3.95</v>
      </c>
      <c r="AX231" s="4">
        <v>3.78</v>
      </c>
      <c r="AY231" s="12">
        <v>3.71</v>
      </c>
      <c r="AZ231" s="12">
        <v>3.65</v>
      </c>
      <c r="BA231" s="12">
        <v>3.65</v>
      </c>
      <c r="BB231" s="15">
        <v>3.78</v>
      </c>
      <c r="BC231" s="52">
        <v>3.91</v>
      </c>
      <c r="BD231" s="52">
        <v>4.03</v>
      </c>
      <c r="BE231" s="52">
        <v>5.18</v>
      </c>
      <c r="BF231" s="52">
        <v>4.54</v>
      </c>
      <c r="BG231" s="67">
        <v>3.93</v>
      </c>
      <c r="BH231" s="52">
        <v>4.1100000000000003</v>
      </c>
      <c r="BI231" s="52">
        <v>3.83</v>
      </c>
      <c r="BJ231" s="52">
        <v>3.95</v>
      </c>
      <c r="BK231" s="52">
        <v>4.17</v>
      </c>
      <c r="BL231" s="52">
        <v>4.0599999999999996</v>
      </c>
      <c r="BM231" s="52">
        <v>4.0599999999999996</v>
      </c>
      <c r="BN231" s="52">
        <v>4.08</v>
      </c>
      <c r="BO231" s="52" cm="1">
        <f t="array" aca="1" ref="BO231" ca="1">_FV(EC231,"Preço")</f>
        <v>4.08</v>
      </c>
      <c r="BP231" s="69" t="s">
        <v>227</v>
      </c>
      <c r="BQ231" s="36" cm="1">
        <f t="array" aca="1" ref="BQ231" ca="1">_FV(EC231,"Média de volume",TRUE)</f>
        <v>8030</v>
      </c>
      <c r="BR231" s="36">
        <v>3100</v>
      </c>
      <c r="BS231" s="36" cm="1">
        <f t="array" aca="1" ref="BS231" ca="1">_FV(EC231,"Volume")</f>
        <v>3100</v>
      </c>
      <c r="BT231" s="24" cm="1">
        <f t="array" aca="1" ref="BT231" ca="1">_FV(EC231,"Beta")</f>
        <v>0.49930000000000002</v>
      </c>
      <c r="BU231" s="71" cm="1">
        <f t="array" aca="1" ref="BU231" ca="1">_FV(EC231,"Variação (%)",TRUE)</f>
        <v>-9.7090000000000006E-3</v>
      </c>
      <c r="BW231" s="17" cm="1">
        <f t="array" aca="1" ref="BW231" ca="1">_FV(EC231,"Baixo")</f>
        <v>4.0599999999999996</v>
      </c>
      <c r="BX231" s="17" cm="1">
        <f t="array" aca="1" ref="BX231" ca="1">_FV(EC231,"Alto")</f>
        <v>4.13</v>
      </c>
      <c r="BY231" s="24"/>
      <c r="BZ231" s="63">
        <f ca="1">SQRT(22.5*(BO231/VLOOKUP(BP231,Fundamentus!A:U,3,FALSE))*(BO231/VLOOKUP(BP231,Fundamentus!A:U,4,FALSE)))</f>
        <v>90.234477166797049</v>
      </c>
      <c r="CB231" s="62">
        <f t="shared" ca="1" si="241"/>
        <v>0</v>
      </c>
      <c r="CC231" s="8"/>
      <c r="CD231" s="61">
        <f t="shared" si="242"/>
        <v>3.2</v>
      </c>
      <c r="CE231" s="61">
        <f t="shared" si="243"/>
        <v>7.31</v>
      </c>
      <c r="CF231" s="61">
        <f t="shared" si="244"/>
        <v>4.3984090909090918</v>
      </c>
      <c r="CG231" s="14"/>
      <c r="CH231" s="35">
        <f t="shared" si="227"/>
        <v>3.884942868799913</v>
      </c>
      <c r="CI231" s="15">
        <f t="shared" si="245"/>
        <v>4.0250000000000057</v>
      </c>
      <c r="CJ231" s="35">
        <f t="shared" si="228"/>
        <v>4.1650571312000979</v>
      </c>
      <c r="CL231" s="14"/>
      <c r="CM231" s="17">
        <f t="shared" si="229"/>
        <v>-1.6933333333333325</v>
      </c>
      <c r="CN231" s="17">
        <f t="shared" si="230"/>
        <v>0.75333333333333385</v>
      </c>
      <c r="CO231" s="17">
        <f t="shared" si="231"/>
        <v>2.416666666666667</v>
      </c>
      <c r="CP231" s="38">
        <f t="shared" si="246"/>
        <v>4.8633333333333333</v>
      </c>
      <c r="CQ231" s="17">
        <f t="shared" si="232"/>
        <v>6.5266666666666664</v>
      </c>
      <c r="CR231" s="17">
        <f t="shared" si="233"/>
        <v>8.9733333333333327</v>
      </c>
      <c r="CS231" s="17">
        <f t="shared" si="234"/>
        <v>10.636666666666667</v>
      </c>
      <c r="CT231" s="2" cm="1">
        <f t="array" aca="1" ref="CT231" ca="1">MAX(_xlfn._xlws.FILTER(CM231:CS231,CM231:CS231&lt;BO231))</f>
        <v>2.416666666666667</v>
      </c>
      <c r="CU231" s="2" cm="1">
        <f t="array" aca="1" ref="CU231" ca="1">MIN(_xlfn._xlws.FILTER($CM231:$CS231,$CM231:$CS231&gt;BO231))</f>
        <v>4.8633333333333333</v>
      </c>
      <c r="CV231" s="16">
        <f t="shared" ca="1" si="248"/>
        <v>1.0124137931034478</v>
      </c>
      <c r="CW231" s="20">
        <f t="shared" ca="1" si="249"/>
        <v>-0.50620689655172391</v>
      </c>
      <c r="CX231" s="20">
        <f t="shared" ca="1" si="250"/>
        <v>-0.33747126436781594</v>
      </c>
      <c r="CY231" s="20">
        <f t="shared" ca="1" si="251"/>
        <v>-0.20248275862068957</v>
      </c>
      <c r="CZ231" s="20">
        <f t="shared" ca="1" si="252"/>
        <v>-0.11249042145593864</v>
      </c>
      <c r="DA231" s="20">
        <f t="shared" ca="1" si="253"/>
        <v>-5.9553752535496933E-2</v>
      </c>
      <c r="DB231" s="20">
        <f t="shared" ca="1" si="254"/>
        <v>-3.067920585161963E-2</v>
      </c>
      <c r="DC231" s="20">
        <f t="shared" ca="1" si="255"/>
        <v>-1.5575596816976121E-2</v>
      </c>
      <c r="DD231" s="21">
        <f t="shared" ca="1" si="256"/>
        <v>1.5575596816976121E-2</v>
      </c>
      <c r="DE231" s="21">
        <f t="shared" ca="1" si="257"/>
        <v>3.067920585161963E-2</v>
      </c>
      <c r="DF231" s="21">
        <f t="shared" ca="1" si="258"/>
        <v>5.9553752535496933E-2</v>
      </c>
      <c r="DG231" s="21">
        <f t="shared" ca="1" si="259"/>
        <v>0.11249042145593864</v>
      </c>
      <c r="DH231" s="21">
        <f t="shared" ca="1" si="260"/>
        <v>0.20248275862068957</v>
      </c>
      <c r="DI231" s="21">
        <f t="shared" ca="1" si="261"/>
        <v>0.33747126436781594</v>
      </c>
      <c r="DJ231" s="21">
        <f t="shared" ca="1" si="262"/>
        <v>0.50620689655172391</v>
      </c>
      <c r="DL231" s="16" cm="1">
        <f t="array" aca="1" ref="DL231" ca="1">MAX(_xlfn._xlws.FILTER(CW231:DJ231,CW231:DJ231&lt;BU231))</f>
        <v>-1.5575596816976121E-2</v>
      </c>
      <c r="DM231" s="16" cm="1">
        <f t="array" aca="1" ref="DM231" ca="1">MIN(_xlfn._xlws.FILTER(CW231:DJ231,CW231:DJ231&gt;BU231))</f>
        <v>1.5575596816976121E-2</v>
      </c>
      <c r="DN231" s="2" cm="1">
        <f t="array" aca="1" ref="DN231" ca="1">_FV(EC231,"Fechamento anterior",TRUE)</f>
        <v>4.12</v>
      </c>
      <c r="DO231" s="28">
        <f t="shared" ca="1" si="235"/>
        <v>0.18833496468347383</v>
      </c>
      <c r="DP231" s="15">
        <f t="shared" ca="1" si="263"/>
        <v>4.0558285411140584</v>
      </c>
      <c r="DQ231" s="15">
        <f t="shared" ca="1" si="264"/>
        <v>4.1841714588859418</v>
      </c>
      <c r="DR231" s="9"/>
      <c r="DS231" s="9"/>
      <c r="DT231" s="9"/>
      <c r="DU231" s="89">
        <v>3.1409367331697427E-2</v>
      </c>
      <c r="DV231" s="89">
        <f t="shared" ca="1" si="236"/>
        <v>3.1151193633952242E-2</v>
      </c>
      <c r="DW231" s="72">
        <f t="shared" ca="1" si="237"/>
        <v>0.39269689110951889</v>
      </c>
      <c r="DX231" s="37"/>
      <c r="DY231" s="35">
        <f t="shared" si="247"/>
        <v>7.0028565600046319E-2</v>
      </c>
      <c r="DZ231" s="56"/>
      <c r="EA231" s="56"/>
      <c r="EC231" s="2" t="e" vm="233">
        <v>#VALUE!</v>
      </c>
      <c r="EE231" s="10" cm="1">
        <f t="array" aca="1" ref="EE231" ca="1">_FV(EC231,"Ações em circulação",TRUE)</f>
        <v>53857280</v>
      </c>
      <c r="EF231" s="18">
        <f>VLOOKUP(BP231,Fundamentus!A:U,5,FALSE)</f>
        <v>4.8000000000000001E-2</v>
      </c>
      <c r="EG231" s="2">
        <f t="shared" ca="1" si="238"/>
        <v>4577868800</v>
      </c>
      <c r="EH231" s="17">
        <v>-958147939.84000003</v>
      </c>
      <c r="EI231" s="17">
        <f t="shared" ca="1" si="239"/>
        <v>-958147939.84000003</v>
      </c>
      <c r="EK231" s="16">
        <f t="shared" ca="1" si="226"/>
        <v>0</v>
      </c>
      <c r="EL231" s="32" t="str">
        <f>IF(VLOOKUP(BP231,Fundamentus!A:U,3,FALSE)&lt;15,"Bom",IF(VLOOKUP(BP231,Fundamentus!A:U,3,FALSE)&gt;15,"Ruim","n/a"))</f>
        <v>Bom</v>
      </c>
      <c r="EM231" s="28" t="str">
        <f>IF(VLOOKUP(BP231,Fundamentus!A:U,4,FALSE)&lt;1,"Baixo",IF(VLOOKUP(BP231,Fundamentus!A:U,4,FALSE)&lt;1.5,"Moderado",IF(VLOOKUP(BP231,Fundamentus!A:U,4,FALSE)&gt;1.5,"Alto","n/a")))</f>
        <v>Baixo</v>
      </c>
      <c r="EN231" s="17" t="str">
        <f>IF(VLOOKUP(BP231,Fundamentus!A:U,8,FALSE)&lt;0,"Risco elevado",IF(VLOOKUP(BP231,Fundamentus!A:U,8,FALSE)&lt;1,"Saudável",IF(VLOOKUP(BP231,Fundamentus!A:U,8,FALSE)&lt;3,"Estável",IF(VLOOKUP(BP231,Fundamentus!A:U,8,FALSE)&gt;3,"Alerta","n/a"))))</f>
        <v>Risco elevado</v>
      </c>
      <c r="EO231" s="28" t="str">
        <f t="shared" si="240"/>
        <v>Ruim</v>
      </c>
      <c r="EP231" s="17" t="str">
        <f>IF(VLOOKUP(BP231,Fundamentus!A:U,12,FALSE)&lt;2,"Subvalorizada",IF(VLOOKUP(BP231,Fundamentus!A:U,12,FALSE)&lt;6,"Muita barata",IF(VLOOKUP(BP231,Fundamentus!A:U,12,FALSE)&lt;6,"Barata",IF(VLOOKUP(BP231,Fundamentus!A:U,12,FALSE)&lt;8,"Atrativa",IF(VLOOKUP(BP231,Fundamentus!A:U,12,FALSE)&gt;8,"Supervalorizada","n/a")))))</f>
        <v>Subvalorizada</v>
      </c>
      <c r="ER231" s="17" t="str">
        <f>IF(VLOOKUP(BP231,Fundamentus!A:U,17,FALSE)&lt;0.1,"Fraco retorno",IF(VLOOKUP(BP231,Fundamentus!A:U,17,FALSE)&gt;0.1,"Bom retorno","n/a"))</f>
        <v>Bom retorno</v>
      </c>
      <c r="ES231" s="17" t="str">
        <f>IF(VLOOKUP(BP231,Fundamentus!A:U,16,FALSE)&lt;0.1,"Ineficiente",IF(VLOOKUP(BP231,Fundamentus!A:U,16,FALSE)&gt;0.1,"Eficiente","n/a"))</f>
        <v>Ineficiente</v>
      </c>
      <c r="ET231" s="33" t="str">
        <f>IF(VLOOKUP(BP231,Fundamentus!A:U,16,FALSE)&lt;0.1,"Oper. Ineficiente",IF(VLOOKUP(BP231,Fundamentus!A:U,16,FALSE)&gt;0.1,"Oper.Eficiente","n/a"))</f>
        <v>Oper. Ineficiente</v>
      </c>
      <c r="EU231" s="34">
        <f>VLOOKUP(BP231,Fundamentus!A:U,14,FALSE)</f>
        <v>-0.20930000000000001</v>
      </c>
      <c r="EV231" s="17" t="str">
        <f>IF(VLOOKUP(BP231,Fundamentus!A:U,21,FALSE)&lt;0,"Negativo",IF(VLOOKUP(BP231,Fundamentus!A:U,21,FALSE)&lt;0.05,"Fraco",IF(VLOOKUP(BP231,Fundamentus!A:U,21,FALSE)&lt;0.1,"Bom",IF(VLOOKUP(BP231,Fundamentus!A:U,21,FALSE)&gt;0.1,"Muito bom","n/a"))))</f>
        <v>Muito bom</v>
      </c>
      <c r="EX231" s="29" t="str">
        <f>IF(VLOOKUP(BP231,Fundamentus!A:U,15,FALSE)&gt;1,"Bom",IF(VLOOKUP(BP231,Fundamentus!A:U,15,FALSE)&lt;1,"Ruim","n/a"))</f>
        <v>Ruim</v>
      </c>
      <c r="EY231" s="17" t="str">
        <f>IF(VLOOKUP(BP231,Fundamentus!A:U,20,FALSE)&lt;0.5,"Baixa",IF(VLOOKUP(BP231,Fundamentus!A:U,20,FALSE)&lt;1,"Moderada",IF(VLOOKUP(BP231,Fundamentus!A:U,20,FALSE)&lt;2,"Alerta",IF(VLOOKUP(BP231,Fundamentus!A:U,20,FALSE)&gt;2,"Alta","n/a"))))</f>
        <v>Baixa</v>
      </c>
    </row>
    <row r="232" spans="1:155" s="2" customFormat="1" ht="11.25" x14ac:dyDescent="0.2">
      <c r="A232" s="4">
        <v>5.31</v>
      </c>
      <c r="B232" s="4">
        <v>5.01</v>
      </c>
      <c r="C232" s="4">
        <v>5.4</v>
      </c>
      <c r="D232" s="4">
        <v>4.79</v>
      </c>
      <c r="E232" s="4">
        <v>4.1500000000000004</v>
      </c>
      <c r="F232" s="4">
        <v>3.73</v>
      </c>
      <c r="G232" s="4">
        <v>3.6</v>
      </c>
      <c r="H232" s="4">
        <v>3.79</v>
      </c>
      <c r="I232" s="4">
        <v>3.34</v>
      </c>
      <c r="J232" s="4">
        <v>3.56</v>
      </c>
      <c r="K232" s="4">
        <v>3.73</v>
      </c>
      <c r="L232" s="4">
        <v>3.47</v>
      </c>
      <c r="M232" s="4">
        <v>3.37</v>
      </c>
      <c r="N232" s="4">
        <v>2.93</v>
      </c>
      <c r="O232" s="4">
        <v>3.1</v>
      </c>
      <c r="P232" s="4">
        <v>2.63</v>
      </c>
      <c r="Q232" s="4">
        <v>2.91</v>
      </c>
      <c r="R232" s="4">
        <v>2.63</v>
      </c>
      <c r="S232" s="4">
        <v>2.58</v>
      </c>
      <c r="T232" s="4">
        <v>2.58</v>
      </c>
      <c r="U232" s="4">
        <v>2.2799999999999998</v>
      </c>
      <c r="V232" s="4">
        <v>2.31</v>
      </c>
      <c r="W232" s="4">
        <v>2.11</v>
      </c>
      <c r="X232" s="4">
        <v>1.9</v>
      </c>
      <c r="Y232" s="4">
        <v>1.72</v>
      </c>
      <c r="Z232" s="4">
        <v>1.66</v>
      </c>
      <c r="AA232" s="4">
        <v>1.46</v>
      </c>
      <c r="AB232" s="4">
        <v>1.49</v>
      </c>
      <c r="AC232" s="4">
        <v>1.4</v>
      </c>
      <c r="AD232" s="4">
        <v>1.59</v>
      </c>
      <c r="AE232" s="4">
        <v>1.48</v>
      </c>
      <c r="AF232" s="4">
        <v>1.3</v>
      </c>
      <c r="AG232" s="4">
        <v>1.29</v>
      </c>
      <c r="AH232" s="4">
        <v>1.1399999999999999</v>
      </c>
      <c r="AI232" s="4">
        <v>1.1499999999999999</v>
      </c>
      <c r="AJ232" s="4">
        <v>1.18</v>
      </c>
      <c r="AK232" s="4">
        <v>1.1599999999999999</v>
      </c>
      <c r="AL232" s="4">
        <v>1.27</v>
      </c>
      <c r="AM232" s="4">
        <v>1.33</v>
      </c>
      <c r="AN232" s="4">
        <v>1.37</v>
      </c>
      <c r="AO232" s="4">
        <v>1.27</v>
      </c>
      <c r="AP232" s="4">
        <v>1.1200000000000001</v>
      </c>
      <c r="AQ232" s="4">
        <v>1.1000000000000001</v>
      </c>
      <c r="AR232" s="4">
        <v>1.1000000000000001</v>
      </c>
      <c r="AS232" s="4">
        <v>1.19</v>
      </c>
      <c r="AT232" s="4">
        <v>1.19</v>
      </c>
      <c r="AU232" s="4">
        <v>1.28</v>
      </c>
      <c r="AV232" s="4">
        <v>2.11</v>
      </c>
      <c r="AW232" s="4">
        <v>2</v>
      </c>
      <c r="AX232" s="4">
        <v>1.74</v>
      </c>
      <c r="AY232" s="12">
        <v>1.57</v>
      </c>
      <c r="AZ232" s="12">
        <v>1.56</v>
      </c>
      <c r="BA232" s="12">
        <v>1.4</v>
      </c>
      <c r="BB232" s="15">
        <v>1.24</v>
      </c>
      <c r="BC232" s="52">
        <v>1.29</v>
      </c>
      <c r="BD232" s="52">
        <v>1.23</v>
      </c>
      <c r="BE232" s="52">
        <v>1.22</v>
      </c>
      <c r="BF232" s="52">
        <v>1.23</v>
      </c>
      <c r="BG232" s="67">
        <v>1.24</v>
      </c>
      <c r="BH232" s="52">
        <v>23.79</v>
      </c>
      <c r="BI232" s="52">
        <v>20.46</v>
      </c>
      <c r="BJ232" s="52">
        <v>19.05</v>
      </c>
      <c r="BK232" s="52">
        <v>19.989999999999998</v>
      </c>
      <c r="BL232" s="52">
        <v>17.84</v>
      </c>
      <c r="BM232" s="52">
        <v>16.25</v>
      </c>
      <c r="BN232" s="52">
        <v>15.15</v>
      </c>
      <c r="BO232" s="52" cm="1">
        <f t="array" aca="1" ref="BO232" ca="1">_FV(EC232,"Preço")</f>
        <v>15.15</v>
      </c>
      <c r="BP232" s="69" t="s">
        <v>228</v>
      </c>
      <c r="BQ232" s="36" cm="1">
        <f t="array" aca="1" ref="BQ232" ca="1">_FV(EC232,"Média de volume",TRUE)</f>
        <v>305410</v>
      </c>
      <c r="BR232" s="36">
        <v>366100</v>
      </c>
      <c r="BS232" s="36" cm="1">
        <f t="array" aca="1" ref="BS232" ca="1">_FV(EC232,"Volume")</f>
        <v>366100</v>
      </c>
      <c r="BT232" s="24" cm="1">
        <f t="array" aca="1" ref="BT232" ca="1">_FV(EC232,"Beta")</f>
        <v>1.9370000000000001</v>
      </c>
      <c r="BU232" s="71" cm="1">
        <f t="array" aca="1" ref="BU232" ca="1">_FV(EC232,"Variação (%)",TRUE)</f>
        <v>-7.8589999999999997E-3</v>
      </c>
      <c r="BW232" s="17" cm="1">
        <f t="array" aca="1" ref="BW232" ca="1">_FV(EC232,"Baixo")</f>
        <v>14.94</v>
      </c>
      <c r="BX232" s="17" cm="1">
        <f t="array" aca="1" ref="BX232" ca="1">_FV(EC232,"Alto")</f>
        <v>15.8</v>
      </c>
      <c r="BY232" s="24"/>
      <c r="BZ232" s="63" t="e">
        <f ca="1">SQRT(22.5*(BO232/VLOOKUP(BP232,Fundamentus!A:U,3,FALSE))*(BO232/VLOOKUP(BP232,Fundamentus!A:U,4,FALSE)))</f>
        <v>#NUM!</v>
      </c>
      <c r="CB232" s="62">
        <f t="shared" ca="1" si="241"/>
        <v>0</v>
      </c>
      <c r="CC232" s="8"/>
      <c r="CD232" s="61">
        <f t="shared" si="242"/>
        <v>1.1000000000000001</v>
      </c>
      <c r="CE232" s="61">
        <f t="shared" si="243"/>
        <v>23.79</v>
      </c>
      <c r="CF232" s="61">
        <f t="shared" si="244"/>
        <v>3.9668181818181818</v>
      </c>
      <c r="CG232" s="14"/>
      <c r="CH232" s="35">
        <f t="shared" si="227"/>
        <v>9.7380773582706031</v>
      </c>
      <c r="CI232" s="15">
        <f t="shared" si="245"/>
        <v>13.280000000000655</v>
      </c>
      <c r="CJ232" s="35">
        <f t="shared" si="228"/>
        <v>16.821922641730708</v>
      </c>
      <c r="CL232" s="14"/>
      <c r="CM232" s="17">
        <f t="shared" si="229"/>
        <v>-19.786666666666665</v>
      </c>
      <c r="CN232" s="17">
        <f t="shared" si="230"/>
        <v>-9.3433333333333319</v>
      </c>
      <c r="CO232" s="17">
        <f t="shared" si="231"/>
        <v>2.9033333333333324</v>
      </c>
      <c r="CP232" s="38">
        <f t="shared" si="246"/>
        <v>13.346666666666666</v>
      </c>
      <c r="CQ232" s="17">
        <f t="shared" si="232"/>
        <v>25.59333333333333</v>
      </c>
      <c r="CR232" s="17">
        <f t="shared" si="233"/>
        <v>36.036666666666662</v>
      </c>
      <c r="CS232" s="17">
        <f t="shared" si="234"/>
        <v>48.283333333333331</v>
      </c>
      <c r="CT232" s="2" cm="1">
        <f t="array" aca="1" ref="CT232" ca="1">MAX(_xlfn._xlws.FILTER(CM232:CS232,CM232:CS232&lt;BO232))</f>
        <v>13.346666666666666</v>
      </c>
      <c r="CU232" s="2" cm="1">
        <f t="array" aca="1" ref="CU232" ca="1">MIN(_xlfn._xlws.FILTER($CM232:$CS232,$CM232:$CS232&gt;BO232))</f>
        <v>25.59333333333333</v>
      </c>
      <c r="CV232" s="16">
        <f t="shared" ca="1" si="248"/>
        <v>0.91758241758241743</v>
      </c>
      <c r="CW232" s="20">
        <f t="shared" ca="1" si="249"/>
        <v>-0.45879120879120872</v>
      </c>
      <c r="CX232" s="20">
        <f t="shared" ca="1" si="250"/>
        <v>-0.30586080586080583</v>
      </c>
      <c r="CY232" s="20">
        <f t="shared" ca="1" si="251"/>
        <v>-0.18351648351648348</v>
      </c>
      <c r="CZ232" s="20">
        <f t="shared" ca="1" si="252"/>
        <v>-0.10195360195360194</v>
      </c>
      <c r="DA232" s="20">
        <f t="shared" ca="1" si="253"/>
        <v>-5.3975436328377494E-2</v>
      </c>
      <c r="DB232" s="20">
        <f t="shared" ca="1" si="254"/>
        <v>-2.7805527805527801E-2</v>
      </c>
      <c r="DC232" s="20">
        <f t="shared" ca="1" si="255"/>
        <v>-1.4116652578191037E-2</v>
      </c>
      <c r="DD232" s="21">
        <f t="shared" ca="1" si="256"/>
        <v>1.4116652578191037E-2</v>
      </c>
      <c r="DE232" s="21">
        <f t="shared" ca="1" si="257"/>
        <v>2.7805527805527801E-2</v>
      </c>
      <c r="DF232" s="21">
        <f t="shared" ca="1" si="258"/>
        <v>5.3975436328377494E-2</v>
      </c>
      <c r="DG232" s="21">
        <f t="shared" ca="1" si="259"/>
        <v>0.10195360195360194</v>
      </c>
      <c r="DH232" s="21">
        <f t="shared" ca="1" si="260"/>
        <v>0.18351648351648348</v>
      </c>
      <c r="DI232" s="21">
        <f t="shared" ca="1" si="261"/>
        <v>0.30586080586080583</v>
      </c>
      <c r="DJ232" s="21">
        <f t="shared" ca="1" si="262"/>
        <v>0.45879120879120872</v>
      </c>
      <c r="DL232" s="16" cm="1">
        <f t="array" aca="1" ref="DL232" ca="1">MAX(_xlfn._xlws.FILTER(CW232:DJ232,CW232:DJ232&lt;BU232))</f>
        <v>-1.4116652578191037E-2</v>
      </c>
      <c r="DM232" s="16" cm="1">
        <f t="array" aca="1" ref="DM232" ca="1">MIN(_xlfn._xlws.FILTER(CW232:DJ232,CW232:DJ232&gt;BU232))</f>
        <v>1.4116652578191037E-2</v>
      </c>
      <c r="DN232" s="2" cm="1">
        <f t="array" aca="1" ref="DN232" ca="1">_FV(EC232,"Fechamento anterior",TRUE)</f>
        <v>15.27</v>
      </c>
      <c r="DO232" s="28">
        <f t="shared" ca="1" si="235"/>
        <v>0.22165688269825981</v>
      </c>
      <c r="DP232" s="15">
        <f t="shared" ca="1" si="263"/>
        <v>15.054438715131022</v>
      </c>
      <c r="DQ232" s="15">
        <f t="shared" ca="1" si="264"/>
        <v>15.485561284868977</v>
      </c>
      <c r="DR232" s="9"/>
      <c r="DS232" s="9"/>
      <c r="DT232" s="9"/>
      <c r="DU232" s="89">
        <v>2.8392950368143439E-2</v>
      </c>
      <c r="DV232" s="89">
        <f t="shared" ca="1" si="236"/>
        <v>2.8233305156382074E-2</v>
      </c>
      <c r="DW232" s="72">
        <f t="shared" ca="1" si="237"/>
        <v>0.52796184139299673</v>
      </c>
      <c r="DX232" s="37"/>
      <c r="DY232" s="35">
        <f t="shared" si="247"/>
        <v>1.7709613208650261</v>
      </c>
      <c r="DZ232" s="56"/>
      <c r="EA232" s="56"/>
      <c r="EC232" s="2" t="e" vm="234">
        <v>#VALUE!</v>
      </c>
      <c r="EE232" s="10" cm="1">
        <f t="array" aca="1" ref="EE232" ca="1">_FV(EC232,"Ações em circulação",TRUE)</f>
        <v>12110160</v>
      </c>
      <c r="EF232" s="18">
        <f>VLOOKUP(BP232,Fundamentus!A:U,5,FALSE)</f>
        <v>0.115</v>
      </c>
      <c r="EG232" s="2">
        <f t="shared" ca="1" si="238"/>
        <v>1595381947.826087</v>
      </c>
      <c r="EH232" s="17">
        <v>-63815277.913043484</v>
      </c>
      <c r="EI232" s="17">
        <f t="shared" ca="1" si="239"/>
        <v>-63815277.913043484</v>
      </c>
      <c r="EK232" s="16">
        <f t="shared" ca="1" si="226"/>
        <v>0</v>
      </c>
      <c r="EL232" s="32" t="str">
        <f>IF(VLOOKUP(BP232,Fundamentus!A:U,3,FALSE)&lt;15,"Bom",IF(VLOOKUP(BP232,Fundamentus!A:U,3,FALSE)&gt;15,"Ruim","n/a"))</f>
        <v>Bom</v>
      </c>
      <c r="EM232" s="28" t="str">
        <f>IF(VLOOKUP(BP232,Fundamentus!A:U,4,FALSE)&lt;1,"Baixo",IF(VLOOKUP(BP232,Fundamentus!A:U,4,FALSE)&lt;1.5,"Moderado",IF(VLOOKUP(BP232,Fundamentus!A:U,4,FALSE)&gt;1.5,"Alto","n/a")))</f>
        <v>Baixo</v>
      </c>
      <c r="EN232" s="17" t="str">
        <f>IF(VLOOKUP(BP232,Fundamentus!A:U,8,FALSE)&lt;0,"Risco elevado",IF(VLOOKUP(BP232,Fundamentus!A:U,8,FALSE)&lt;1,"Saudável",IF(VLOOKUP(BP232,Fundamentus!A:U,8,FALSE)&lt;3,"Estável",IF(VLOOKUP(BP232,Fundamentus!A:U,8,FALSE)&gt;3,"Alerta","n/a"))))</f>
        <v>Saudável</v>
      </c>
      <c r="EO232" s="28" t="str">
        <f t="shared" si="240"/>
        <v>Ruim</v>
      </c>
      <c r="EP232" s="17" t="str">
        <f>IF(VLOOKUP(BP232,Fundamentus!A:U,12,FALSE)&lt;2,"Subvalorizada",IF(VLOOKUP(BP232,Fundamentus!A:U,12,FALSE)&lt;6,"Muita barata",IF(VLOOKUP(BP232,Fundamentus!A:U,12,FALSE)&lt;6,"Barata",IF(VLOOKUP(BP232,Fundamentus!A:U,12,FALSE)&lt;8,"Atrativa",IF(VLOOKUP(BP232,Fundamentus!A:U,12,FALSE)&gt;8,"Supervalorizada","n/a")))))</f>
        <v>Subvalorizada</v>
      </c>
      <c r="ER232" s="17" t="str">
        <f>IF(VLOOKUP(BP232,Fundamentus!A:U,17,FALSE)&lt;0.1,"Fraco retorno",IF(VLOOKUP(BP232,Fundamentus!A:U,17,FALSE)&gt;0.1,"Bom retorno","n/a"))</f>
        <v>Fraco retorno</v>
      </c>
      <c r="ES232" s="17" t="str">
        <f>IF(VLOOKUP(BP232,Fundamentus!A:U,16,FALSE)&lt;0.1,"Ineficiente",IF(VLOOKUP(BP232,Fundamentus!A:U,16,FALSE)&gt;0.1,"Eficiente","n/a"))</f>
        <v>Ineficiente</v>
      </c>
      <c r="ET232" s="33" t="str">
        <f>IF(VLOOKUP(BP232,Fundamentus!A:U,16,FALSE)&lt;0.1,"Oper. Ineficiente",IF(VLOOKUP(BP232,Fundamentus!A:U,16,FALSE)&gt;0.1,"Oper.Eficiente","n/a"))</f>
        <v>Oper. Ineficiente</v>
      </c>
      <c r="EU232" s="34">
        <f>VLOOKUP(BP232,Fundamentus!A:U,14,FALSE)</f>
        <v>-0.04</v>
      </c>
      <c r="EV232" s="17" t="str">
        <f>IF(VLOOKUP(BP232,Fundamentus!A:U,21,FALSE)&lt;0,"Negativo",IF(VLOOKUP(BP232,Fundamentus!A:U,21,FALSE)&lt;0.05,"Fraco",IF(VLOOKUP(BP232,Fundamentus!A:U,21,FALSE)&lt;0.1,"Bom",IF(VLOOKUP(BP232,Fundamentus!A:U,21,FALSE)&gt;0.1,"Muito bom","n/a"))))</f>
        <v>Fraco</v>
      </c>
      <c r="EX232" s="29" t="str">
        <f>IF(VLOOKUP(BP232,Fundamentus!A:U,15,FALSE)&gt;1,"Bom",IF(VLOOKUP(BP232,Fundamentus!A:U,15,FALSE)&lt;1,"Ruim","n/a"))</f>
        <v>Bom</v>
      </c>
      <c r="EY232" s="17" t="str">
        <f>IF(VLOOKUP(BP232,Fundamentus!A:U,20,FALSE)&lt;0.5,"Baixa",IF(VLOOKUP(BP232,Fundamentus!A:U,20,FALSE)&lt;1,"Moderada",IF(VLOOKUP(BP232,Fundamentus!A:U,20,FALSE)&lt;2,"Alerta",IF(VLOOKUP(BP232,Fundamentus!A:U,20,FALSE)&gt;2,"Alta","n/a"))))</f>
        <v>Moderada</v>
      </c>
    </row>
    <row r="233" spans="1:155" s="2" customFormat="1" ht="11.25" x14ac:dyDescent="0.2">
      <c r="A233" s="4">
        <v>30.26</v>
      </c>
      <c r="B233" s="4">
        <v>30.39</v>
      </c>
      <c r="C233" s="4">
        <v>30.33</v>
      </c>
      <c r="D233" s="4">
        <v>29.67</v>
      </c>
      <c r="E233" s="4">
        <v>27.25</v>
      </c>
      <c r="F233" s="4">
        <v>28.71</v>
      </c>
      <c r="G233" s="4">
        <v>28.74</v>
      </c>
      <c r="H233" s="4">
        <v>29.05</v>
      </c>
      <c r="I233" s="4">
        <v>28.7</v>
      </c>
      <c r="J233" s="4">
        <v>28.95</v>
      </c>
      <c r="K233" s="4">
        <v>29.47</v>
      </c>
      <c r="L233" s="4">
        <v>28.37</v>
      </c>
      <c r="M233" s="4">
        <v>29.51</v>
      </c>
      <c r="N233" s="4">
        <v>28.25</v>
      </c>
      <c r="O233" s="4">
        <v>29.41</v>
      </c>
      <c r="P233" s="4">
        <v>31.2</v>
      </c>
      <c r="Q233" s="4">
        <v>31.03</v>
      </c>
      <c r="R233" s="4">
        <v>28.54</v>
      </c>
      <c r="S233" s="4">
        <v>28.32</v>
      </c>
      <c r="T233" s="4">
        <v>29.08</v>
      </c>
      <c r="U233" s="4">
        <v>27.31</v>
      </c>
      <c r="V233" s="4">
        <v>26.7</v>
      </c>
      <c r="W233" s="4">
        <v>26.8</v>
      </c>
      <c r="X233" s="4">
        <v>26.62</v>
      </c>
      <c r="Y233" s="4">
        <v>26.91</v>
      </c>
      <c r="Z233" s="4">
        <v>26.2</v>
      </c>
      <c r="AA233" s="4">
        <v>22.72</v>
      </c>
      <c r="AB233" s="4">
        <v>20.96</v>
      </c>
      <c r="AC233" s="4">
        <v>20.6</v>
      </c>
      <c r="AD233" s="4">
        <v>20.18</v>
      </c>
      <c r="AE233" s="4">
        <v>19.52</v>
      </c>
      <c r="AF233" s="4">
        <v>18.989999999999998</v>
      </c>
      <c r="AG233" s="4">
        <v>18.420000000000002</v>
      </c>
      <c r="AH233" s="4">
        <v>18.649999999999999</v>
      </c>
      <c r="AI233" s="4">
        <v>18.03</v>
      </c>
      <c r="AJ233" s="4">
        <v>17.920000000000002</v>
      </c>
      <c r="AK233" s="4">
        <v>17.82</v>
      </c>
      <c r="AL233" s="4">
        <v>18.29</v>
      </c>
      <c r="AM233" s="4">
        <v>18.399999999999999</v>
      </c>
      <c r="AN233" s="4">
        <v>18.28</v>
      </c>
      <c r="AO233" s="4">
        <v>18.55</v>
      </c>
      <c r="AP233" s="4">
        <v>19.72</v>
      </c>
      <c r="AQ233" s="4">
        <v>19.52</v>
      </c>
      <c r="AR233" s="4">
        <v>19.05</v>
      </c>
      <c r="AS233" s="4">
        <v>19.54</v>
      </c>
      <c r="AT233" s="4">
        <v>20.34</v>
      </c>
      <c r="AU233" s="4">
        <v>19.875</v>
      </c>
      <c r="AV233" s="4">
        <v>19.760000000000002</v>
      </c>
      <c r="AW233" s="4">
        <v>20.329999999999998</v>
      </c>
      <c r="AX233" s="4">
        <v>19.37</v>
      </c>
      <c r="AY233" s="12">
        <v>19.97</v>
      </c>
      <c r="AZ233" s="12">
        <v>24.03</v>
      </c>
      <c r="BA233" s="12">
        <v>24.12</v>
      </c>
      <c r="BB233" s="15">
        <v>22.8</v>
      </c>
      <c r="BC233" s="52">
        <v>24.69</v>
      </c>
      <c r="BD233" s="52">
        <v>24.45</v>
      </c>
      <c r="BE233" s="52">
        <v>25.4</v>
      </c>
      <c r="BF233" s="52">
        <v>25.99</v>
      </c>
      <c r="BG233" s="67">
        <v>27.8</v>
      </c>
      <c r="BH233" s="52">
        <v>27.47</v>
      </c>
      <c r="BI233" s="52">
        <v>26.85</v>
      </c>
      <c r="BJ233" s="52">
        <v>27.7</v>
      </c>
      <c r="BK233" s="52">
        <v>27.01</v>
      </c>
      <c r="BL233" s="52">
        <v>26.42</v>
      </c>
      <c r="BM233" s="52">
        <v>26.26</v>
      </c>
      <c r="BN233" s="52">
        <v>25.88</v>
      </c>
      <c r="BO233" s="52" cm="1">
        <f t="array" aca="1" ref="BO233" ca="1">_FV(EC233,"Preço")</f>
        <v>25.88</v>
      </c>
      <c r="BP233" s="69" t="s">
        <v>229</v>
      </c>
      <c r="BQ233" s="36" cm="1">
        <f t="array" aca="1" ref="BQ233" ca="1">_FV(EC233,"Média de volume",TRUE)</f>
        <v>1977210</v>
      </c>
      <c r="BR233" s="36">
        <v>2375000</v>
      </c>
      <c r="BS233" s="36" cm="1">
        <f t="array" aca="1" ref="BS233" ca="1">_FV(EC233,"Volume")</f>
        <v>2375000</v>
      </c>
      <c r="BT233" s="24" cm="1">
        <f t="array" aca="1" ref="BT233" ca="1">_FV(EC233,"Beta")</f>
        <v>1.1042000000000001</v>
      </c>
      <c r="BU233" s="71" cm="1">
        <f t="array" aca="1" ref="BU233" ca="1">_FV(EC233,"Variação (%)",TRUE)</f>
        <v>6.6119999999999998E-3</v>
      </c>
      <c r="BW233" s="17" cm="1">
        <f t="array" aca="1" ref="BW233" ca="1">_FV(EC233,"Baixo")</f>
        <v>25.55</v>
      </c>
      <c r="BX233" s="17" cm="1">
        <f t="array" aca="1" ref="BX233" ca="1">_FV(EC233,"Alto")</f>
        <v>26.24</v>
      </c>
      <c r="BY233" s="24"/>
      <c r="BZ233" s="63">
        <f ca="1">SQRT(22.5*(BO233/VLOOKUP(BP233,Fundamentus!A:U,3,FALSE))*(BO233/VLOOKUP(BP233,Fundamentus!A:U,4,FALSE)))</f>
        <v>22.541516814735139</v>
      </c>
      <c r="CB233" s="62">
        <f t="shared" ca="1" si="241"/>
        <v>0</v>
      </c>
      <c r="CC233" s="8"/>
      <c r="CD233" s="61">
        <f t="shared" si="242"/>
        <v>17.82</v>
      </c>
      <c r="CE233" s="61">
        <f t="shared" si="243"/>
        <v>31.2</v>
      </c>
      <c r="CF233" s="61">
        <f t="shared" si="244"/>
        <v>24.506742424242418</v>
      </c>
      <c r="CG233" s="14"/>
      <c r="CH233" s="35">
        <f t="shared" si="227"/>
        <v>24.230662525074415</v>
      </c>
      <c r="CI233" s="15">
        <f t="shared" si="245"/>
        <v>25.505000000000109</v>
      </c>
      <c r="CJ233" s="35">
        <f t="shared" si="228"/>
        <v>26.779337474925804</v>
      </c>
      <c r="CL233" s="14"/>
      <c r="CM233" s="17">
        <f t="shared" si="229"/>
        <v>5.3533333333333317</v>
      </c>
      <c r="CN233" s="17">
        <f t="shared" si="230"/>
        <v>11.586666666666666</v>
      </c>
      <c r="CO233" s="17">
        <f t="shared" si="231"/>
        <v>18.733333333333331</v>
      </c>
      <c r="CP233" s="38">
        <f t="shared" si="246"/>
        <v>24.966666666666665</v>
      </c>
      <c r="CQ233" s="17">
        <f t="shared" si="232"/>
        <v>32.11333333333333</v>
      </c>
      <c r="CR233" s="17">
        <f t="shared" si="233"/>
        <v>38.346666666666664</v>
      </c>
      <c r="CS233" s="17">
        <f t="shared" si="234"/>
        <v>45.493333333333325</v>
      </c>
      <c r="CT233" s="2" cm="1">
        <f t="array" aca="1" ref="CT233" ca="1">MAX(_xlfn._xlws.FILTER(CM233:CS233,CM233:CS233&lt;BO233))</f>
        <v>24.966666666666665</v>
      </c>
      <c r="CU233" s="2" cm="1">
        <f t="array" aca="1" ref="CU233" ca="1">MIN(_xlfn._xlws.FILTER($CM233:$CS233,$CM233:$CS233&gt;BO233))</f>
        <v>32.11333333333333</v>
      </c>
      <c r="CV233" s="16">
        <f t="shared" ca="1" si="248"/>
        <v>0.28624833110814407</v>
      </c>
      <c r="CW233" s="20">
        <f t="shared" ca="1" si="249"/>
        <v>-0.14312416555407204</v>
      </c>
      <c r="CX233" s="20">
        <f t="shared" ca="1" si="250"/>
        <v>-9.5416110369381357E-2</v>
      </c>
      <c r="CY233" s="20">
        <f t="shared" ca="1" si="251"/>
        <v>-5.7249666221628817E-2</v>
      </c>
      <c r="CZ233" s="20">
        <f t="shared" ca="1" si="252"/>
        <v>-3.1805370123127119E-2</v>
      </c>
      <c r="DA233" s="20">
        <f t="shared" ca="1" si="253"/>
        <v>-1.6838137124008473E-2</v>
      </c>
      <c r="DB233" s="20">
        <f t="shared" ca="1" si="254"/>
        <v>-8.6741918517619417E-3</v>
      </c>
      <c r="DC233" s="20">
        <f t="shared" ca="1" si="255"/>
        <v>-4.4038204785868318E-3</v>
      </c>
      <c r="DD233" s="21">
        <f t="shared" ca="1" si="256"/>
        <v>4.4038204785868318E-3</v>
      </c>
      <c r="DE233" s="21">
        <f t="shared" ca="1" si="257"/>
        <v>8.6741918517619417E-3</v>
      </c>
      <c r="DF233" s="21">
        <f t="shared" ca="1" si="258"/>
        <v>1.6838137124008473E-2</v>
      </c>
      <c r="DG233" s="21">
        <f t="shared" ca="1" si="259"/>
        <v>3.1805370123127119E-2</v>
      </c>
      <c r="DH233" s="21">
        <f t="shared" ca="1" si="260"/>
        <v>5.7249666221628817E-2</v>
      </c>
      <c r="DI233" s="21">
        <f t="shared" ca="1" si="261"/>
        <v>9.5416110369381357E-2</v>
      </c>
      <c r="DJ233" s="21">
        <f t="shared" ca="1" si="262"/>
        <v>0.14312416555407204</v>
      </c>
      <c r="DL233" s="16" cm="1">
        <f t="array" aca="1" ref="DL233" ca="1">MAX(_xlfn._xlws.FILTER(CW233:DJ233,CW233:DJ233&lt;BU233))</f>
        <v>4.4038204785868318E-3</v>
      </c>
      <c r="DM233" s="16" cm="1">
        <f t="array" aca="1" ref="DM233" ca="1">MIN(_xlfn._xlws.FILTER(CW233:DJ233,CW233:DJ233&gt;BU233))</f>
        <v>8.6741918517619417E-3</v>
      </c>
      <c r="DN233" s="2" cm="1">
        <f t="array" aca="1" ref="DN233" ca="1">_FV(EC233,"Fechamento anterior",TRUE)</f>
        <v>25.71</v>
      </c>
      <c r="DO233" s="28">
        <f t="shared" ca="1" si="235"/>
        <v>0.51714300117336809</v>
      </c>
      <c r="DP233" s="15">
        <f t="shared" ca="1" si="263"/>
        <v>25.82322222450447</v>
      </c>
      <c r="DQ233" s="15">
        <f t="shared" ca="1" si="264"/>
        <v>25.933013472508801</v>
      </c>
      <c r="DR233" s="9"/>
      <c r="DS233" s="9"/>
      <c r="DT233" s="9"/>
      <c r="DU233" s="89">
        <v>8.964842156782768E-3</v>
      </c>
      <c r="DV233" s="89">
        <f t="shared" ca="1" si="236"/>
        <v>4.27037137317511E-3</v>
      </c>
      <c r="DW233" s="72">
        <f t="shared" ca="1" si="237"/>
        <v>0.29427055813590963</v>
      </c>
      <c r="DX233" s="37"/>
      <c r="DY233" s="35">
        <f t="shared" si="247"/>
        <v>0.63716873746284808</v>
      </c>
      <c r="DZ233" s="56"/>
      <c r="EA233" s="56"/>
      <c r="EC233" s="2" t="e" vm="235">
        <v>#VALUE!</v>
      </c>
      <c r="EE233" s="10" cm="1">
        <f t="array" aca="1" ref="EE233" ca="1">_FV(EC233,"Ações em circulação",TRUE)</f>
        <v>633420800</v>
      </c>
      <c r="EF233" s="18">
        <f>VLOOKUP(BP233,Fundamentus!A:U,5,FALSE)</f>
        <v>2.5049999999999999</v>
      </c>
      <c r="EG233" s="2">
        <f t="shared" ca="1" si="238"/>
        <v>6544083953.6926155</v>
      </c>
      <c r="EH233" s="17">
        <v>782672440.86163676</v>
      </c>
      <c r="EI233" s="17">
        <f t="shared" ca="1" si="239"/>
        <v>782672440.86163676</v>
      </c>
      <c r="EK233" s="16">
        <f t="shared" ca="1" si="226"/>
        <v>0</v>
      </c>
      <c r="EL233" s="32" t="str">
        <f>IF(VLOOKUP(BP233,Fundamentus!A:U,3,FALSE)&lt;15,"Bom",IF(VLOOKUP(BP233,Fundamentus!A:U,3,FALSE)&gt;15,"Ruim","n/a"))</f>
        <v>Ruim</v>
      </c>
      <c r="EM233" s="28" t="str">
        <f>IF(VLOOKUP(BP233,Fundamentus!A:U,4,FALSE)&lt;1,"Baixo",IF(VLOOKUP(BP233,Fundamentus!A:U,4,FALSE)&lt;1.5,"Moderado",IF(VLOOKUP(BP233,Fundamentus!A:U,4,FALSE)&gt;1.5,"Alto","n/a")))</f>
        <v>Moderado</v>
      </c>
      <c r="EN233" s="17" t="str">
        <f>IF(VLOOKUP(BP233,Fundamentus!A:U,8,FALSE)&lt;0,"Risco elevado",IF(VLOOKUP(BP233,Fundamentus!A:U,8,FALSE)&lt;1,"Saudável",IF(VLOOKUP(BP233,Fundamentus!A:U,8,FALSE)&lt;3,"Estável",IF(VLOOKUP(BP233,Fundamentus!A:U,8,FALSE)&gt;3,"Alerta","n/a"))))</f>
        <v>Alerta</v>
      </c>
      <c r="EO233" s="28" t="str">
        <f t="shared" si="240"/>
        <v>Bom</v>
      </c>
      <c r="EP233" s="17" t="str">
        <f>IF(VLOOKUP(BP233,Fundamentus!A:U,12,FALSE)&lt;2,"Subvalorizada",IF(VLOOKUP(BP233,Fundamentus!A:U,12,FALSE)&lt;6,"Muita barata",IF(VLOOKUP(BP233,Fundamentus!A:U,12,FALSE)&lt;6,"Barata",IF(VLOOKUP(BP233,Fundamentus!A:U,12,FALSE)&lt;8,"Atrativa",IF(VLOOKUP(BP233,Fundamentus!A:U,12,FALSE)&gt;8,"Supervalorizada","n/a")))))</f>
        <v>Supervalorizada</v>
      </c>
      <c r="ER233" s="17" t="str">
        <f>IF(VLOOKUP(BP233,Fundamentus!A:U,17,FALSE)&lt;0.1,"Fraco retorno",IF(VLOOKUP(BP233,Fundamentus!A:U,17,FALSE)&gt;0.1,"Bom retorno","n/a"))</f>
        <v>Fraco retorno</v>
      </c>
      <c r="ES233" s="17" t="str">
        <f>IF(VLOOKUP(BP233,Fundamentus!A:U,16,FALSE)&lt;0.1,"Ineficiente",IF(VLOOKUP(BP233,Fundamentus!A:U,16,FALSE)&gt;0.1,"Eficiente","n/a"))</f>
        <v>Ineficiente</v>
      </c>
      <c r="ET233" s="33" t="str">
        <f>IF(VLOOKUP(BP233,Fundamentus!A:U,16,FALSE)&lt;0.1,"Oper. Ineficiente",IF(VLOOKUP(BP233,Fundamentus!A:U,16,FALSE)&gt;0.1,"Oper.Eficiente","n/a"))</f>
        <v>Oper. Ineficiente</v>
      </c>
      <c r="EU233" s="34">
        <f>VLOOKUP(BP233,Fundamentus!A:U,14,FALSE)</f>
        <v>0.1196</v>
      </c>
      <c r="EV233" s="17" t="str">
        <f>IF(VLOOKUP(BP233,Fundamentus!A:U,21,FALSE)&lt;0,"Negativo",IF(VLOOKUP(BP233,Fundamentus!A:U,21,FALSE)&lt;0.05,"Fraco",IF(VLOOKUP(BP233,Fundamentus!A:U,21,FALSE)&lt;0.1,"Bom",IF(VLOOKUP(BP233,Fundamentus!A:U,21,FALSE)&gt;0.1,"Muito bom","n/a"))))</f>
        <v>Muito bom</v>
      </c>
      <c r="EX233" s="29" t="str">
        <f>IF(VLOOKUP(BP233,Fundamentus!A:U,15,FALSE)&gt;1,"Bom",IF(VLOOKUP(BP233,Fundamentus!A:U,15,FALSE)&lt;1,"Ruim","n/a"))</f>
        <v>Bom</v>
      </c>
      <c r="EY233" s="17" t="str">
        <f>IF(VLOOKUP(BP233,Fundamentus!A:U,20,FALSE)&lt;0.5,"Baixa",IF(VLOOKUP(BP233,Fundamentus!A:U,20,FALSE)&lt;1,"Moderada",IF(VLOOKUP(BP233,Fundamentus!A:U,20,FALSE)&lt;2,"Alerta",IF(VLOOKUP(BP233,Fundamentus!A:U,20,FALSE)&gt;2,"Alta","n/a"))))</f>
        <v>Moderada</v>
      </c>
    </row>
    <row r="234" spans="1:155" s="2" customFormat="1" ht="11.25" x14ac:dyDescent="0.2">
      <c r="A234" s="4">
        <v>2.48</v>
      </c>
      <c r="B234" s="4">
        <v>2.46</v>
      </c>
      <c r="C234" s="4">
        <v>2.75</v>
      </c>
      <c r="D234" s="4">
        <v>2.67</v>
      </c>
      <c r="E234" s="4">
        <v>2.66</v>
      </c>
      <c r="F234" s="4">
        <v>2.1800000000000002</v>
      </c>
      <c r="G234" s="4">
        <v>2.16</v>
      </c>
      <c r="H234" s="4">
        <v>2.06</v>
      </c>
      <c r="I234" s="4">
        <v>1.98</v>
      </c>
      <c r="J234" s="4">
        <v>2.0299999999999998</v>
      </c>
      <c r="K234" s="4">
        <v>2.2400000000000002</v>
      </c>
      <c r="L234" s="4">
        <v>1.89</v>
      </c>
      <c r="M234" s="4">
        <v>1.83</v>
      </c>
      <c r="N234" s="4">
        <v>1.88</v>
      </c>
      <c r="O234" s="4">
        <v>1.87</v>
      </c>
      <c r="P234" s="4">
        <v>1.71</v>
      </c>
      <c r="Q234" s="4">
        <v>1.79</v>
      </c>
      <c r="R234" s="4">
        <v>1.69</v>
      </c>
      <c r="S234" s="4">
        <v>1.47</v>
      </c>
      <c r="T234" s="4">
        <v>1.39</v>
      </c>
      <c r="U234" s="4">
        <v>1.36</v>
      </c>
      <c r="V234" s="4">
        <v>1.38</v>
      </c>
      <c r="W234" s="4">
        <v>1.3</v>
      </c>
      <c r="X234" s="4">
        <v>1.26</v>
      </c>
      <c r="Y234" s="4">
        <v>1.22</v>
      </c>
      <c r="Z234" s="4">
        <v>1.25</v>
      </c>
      <c r="AA234" s="4">
        <v>1.22</v>
      </c>
      <c r="AB234" s="4">
        <v>1.31</v>
      </c>
      <c r="AC234" s="4">
        <v>1.1599999999999999</v>
      </c>
      <c r="AD234" s="4">
        <v>1.1399999999999999</v>
      </c>
      <c r="AE234" s="4">
        <v>1.23</v>
      </c>
      <c r="AF234" s="4">
        <v>1.22</v>
      </c>
      <c r="AG234" s="4">
        <v>1.18</v>
      </c>
      <c r="AH234" s="4">
        <v>1.1000000000000001</v>
      </c>
      <c r="AI234" s="4">
        <v>1.06</v>
      </c>
      <c r="AJ234" s="4">
        <v>1.04</v>
      </c>
      <c r="AK234" s="4">
        <v>1.02</v>
      </c>
      <c r="AL234" s="4">
        <v>1.1100000000000001</v>
      </c>
      <c r="AM234" s="4">
        <v>1.22</v>
      </c>
      <c r="AN234" s="4">
        <v>1.38</v>
      </c>
      <c r="AO234" s="4">
        <v>1.23</v>
      </c>
      <c r="AP234" s="4">
        <v>1.39</v>
      </c>
      <c r="AQ234" s="4">
        <v>1.29</v>
      </c>
      <c r="AR234" s="4">
        <v>1.25</v>
      </c>
      <c r="AS234" s="4">
        <v>1.23</v>
      </c>
      <c r="AT234" s="4">
        <v>1.32</v>
      </c>
      <c r="AU234" s="4">
        <v>1.1200000000000001</v>
      </c>
      <c r="AV234" s="4">
        <v>1.04</v>
      </c>
      <c r="AW234" s="4">
        <v>1.04</v>
      </c>
      <c r="AX234" s="4">
        <v>1.1000000000000001</v>
      </c>
      <c r="AY234" s="12">
        <v>1.1399999999999999</v>
      </c>
      <c r="AZ234" s="12">
        <v>1.24</v>
      </c>
      <c r="BA234" s="12">
        <v>1.22</v>
      </c>
      <c r="BB234" s="15">
        <v>1.21</v>
      </c>
      <c r="BC234" s="52">
        <v>1.08</v>
      </c>
      <c r="BD234" s="52">
        <v>1.18</v>
      </c>
      <c r="BE234" s="52">
        <v>1.19</v>
      </c>
      <c r="BF234" s="52">
        <v>1.25</v>
      </c>
      <c r="BG234" s="67">
        <v>1.2</v>
      </c>
      <c r="BH234" s="52">
        <v>1.1499999999999999</v>
      </c>
      <c r="BI234" s="52">
        <v>1.17</v>
      </c>
      <c r="BJ234" s="52">
        <v>1.1299999999999999</v>
      </c>
      <c r="BK234" s="52">
        <v>1.0900000000000001</v>
      </c>
      <c r="BL234" s="52">
        <v>1.02</v>
      </c>
      <c r="BM234" s="52">
        <v>1.03</v>
      </c>
      <c r="BN234" s="52">
        <v>1.01</v>
      </c>
      <c r="BO234" s="52" cm="1">
        <f t="array" aca="1" ref="BO234" ca="1">_FV(EC234,"Preço")</f>
        <v>1.01</v>
      </c>
      <c r="BP234" s="69" t="s">
        <v>230</v>
      </c>
      <c r="BQ234" s="36" cm="1">
        <f t="array" aca="1" ref="BQ234" ca="1">_FV(EC234,"Média de volume",TRUE)</f>
        <v>788410</v>
      </c>
      <c r="BR234" s="36">
        <v>840000</v>
      </c>
      <c r="BS234" s="36" cm="1">
        <f t="array" aca="1" ref="BS234" ca="1">_FV(EC234,"Volume")</f>
        <v>840000</v>
      </c>
      <c r="BT234" s="24" cm="1">
        <f t="array" aca="1" ref="BT234" ca="1">_FV(EC234,"Beta")</f>
        <v>1.7910999999999999</v>
      </c>
      <c r="BU234" s="71" cm="1">
        <f t="array" aca="1" ref="BU234" ca="1">_FV(EC234,"Variação (%)",TRUE)</f>
        <v>0</v>
      </c>
      <c r="BW234" s="17" cm="1">
        <f t="array" aca="1" ref="BW234" ca="1">_FV(EC234,"Baixo")</f>
        <v>0.99</v>
      </c>
      <c r="BX234" s="17" cm="1">
        <f t="array" aca="1" ref="BX234" ca="1">_FV(EC234,"Alto")</f>
        <v>1.03</v>
      </c>
      <c r="BY234" s="24"/>
      <c r="BZ234" s="63" t="e">
        <f ca="1">SQRT(22.5*(BO234/VLOOKUP(BP234,Fundamentus!A:U,3,FALSE))*(BO234/VLOOKUP(BP234,Fundamentus!A:U,4,FALSE)))</f>
        <v>#NUM!</v>
      </c>
      <c r="CB234" s="62">
        <f t="shared" ca="1" si="241"/>
        <v>0</v>
      </c>
      <c r="CC234" s="8"/>
      <c r="CD234" s="61">
        <f t="shared" si="242"/>
        <v>1.01</v>
      </c>
      <c r="CE234" s="61">
        <f t="shared" si="243"/>
        <v>2.75</v>
      </c>
      <c r="CF234" s="61">
        <f t="shared" si="244"/>
        <v>1.4495454545454547</v>
      </c>
      <c r="CG234" s="14"/>
      <c r="CH234" s="35">
        <f t="shared" si="227"/>
        <v>0.88739330477766798</v>
      </c>
      <c r="CI234" s="15">
        <f t="shared" si="245"/>
        <v>0.97999999999998977</v>
      </c>
      <c r="CJ234" s="35">
        <f t="shared" si="228"/>
        <v>1.0726066952223114</v>
      </c>
      <c r="CL234" s="14"/>
      <c r="CM234" s="17">
        <f t="shared" si="229"/>
        <v>-1.3100000000000003</v>
      </c>
      <c r="CN234" s="17">
        <f t="shared" si="230"/>
        <v>-0.15000000000000013</v>
      </c>
      <c r="CO234" s="17">
        <f t="shared" si="231"/>
        <v>0.42999999999999972</v>
      </c>
      <c r="CP234" s="38">
        <f t="shared" si="246"/>
        <v>1.5899999999999999</v>
      </c>
      <c r="CQ234" s="17">
        <f t="shared" si="232"/>
        <v>2.17</v>
      </c>
      <c r="CR234" s="17">
        <f t="shared" si="233"/>
        <v>3.33</v>
      </c>
      <c r="CS234" s="17">
        <f t="shared" si="234"/>
        <v>3.9099999999999997</v>
      </c>
      <c r="CT234" s="2" cm="1">
        <f t="array" aca="1" ref="CT234" ca="1">MAX(_xlfn._xlws.FILTER(CM234:CS234,CM234:CS234&lt;BO234))</f>
        <v>0.42999999999999972</v>
      </c>
      <c r="CU234" s="2" cm="1">
        <f t="array" aca="1" ref="CU234" ca="1">MIN(_xlfn._xlws.FILTER($CM234:$CS234,$CM234:$CS234&gt;BO234))</f>
        <v>1.5899999999999999</v>
      </c>
      <c r="CV234" s="16">
        <f t="shared" ca="1" si="248"/>
        <v>2.6976744186046533</v>
      </c>
      <c r="CW234" s="20">
        <f t="shared" ca="1" si="249"/>
        <v>-1.3488372093023266</v>
      </c>
      <c r="CX234" s="20">
        <f t="shared" ca="1" si="250"/>
        <v>-0.8992248062015511</v>
      </c>
      <c r="CY234" s="20">
        <f t="shared" ca="1" si="251"/>
        <v>-0.53953488372093061</v>
      </c>
      <c r="CZ234" s="20">
        <f t="shared" ca="1" si="252"/>
        <v>-0.2997416020671837</v>
      </c>
      <c r="DA234" s="20">
        <f t="shared" ca="1" si="253"/>
        <v>-0.15868673050615609</v>
      </c>
      <c r="DB234" s="20">
        <f t="shared" ca="1" si="254"/>
        <v>-8.174770965468646E-2</v>
      </c>
      <c r="DC234" s="20">
        <f t="shared" ca="1" si="255"/>
        <v>-4.150268336314851E-2</v>
      </c>
      <c r="DD234" s="21">
        <f t="shared" ca="1" si="256"/>
        <v>4.150268336314851E-2</v>
      </c>
      <c r="DE234" s="21">
        <f t="shared" ca="1" si="257"/>
        <v>8.174770965468646E-2</v>
      </c>
      <c r="DF234" s="21">
        <f t="shared" ca="1" si="258"/>
        <v>0.15868673050615609</v>
      </c>
      <c r="DG234" s="21">
        <f t="shared" ca="1" si="259"/>
        <v>0.2997416020671837</v>
      </c>
      <c r="DH234" s="21">
        <f t="shared" ca="1" si="260"/>
        <v>0.53953488372093061</v>
      </c>
      <c r="DI234" s="21">
        <f t="shared" ca="1" si="261"/>
        <v>0.8992248062015511</v>
      </c>
      <c r="DJ234" s="21">
        <f t="shared" ca="1" si="262"/>
        <v>1.3488372093023266</v>
      </c>
      <c r="DL234" s="16" cm="1">
        <f t="array" aca="1" ref="DL234" ca="1">MAX(_xlfn._xlws.FILTER(CW234:DJ234,CW234:DJ234&lt;BU234))</f>
        <v>-4.150268336314851E-2</v>
      </c>
      <c r="DM234" s="16" cm="1">
        <f t="array" aca="1" ref="DM234" ca="1">MIN(_xlfn._xlws.FILTER(CW234:DJ234,CW234:DJ234&gt;BU234))</f>
        <v>4.150268336314851E-2</v>
      </c>
      <c r="DN234" s="2" cm="1">
        <f t="array" aca="1" ref="DN234" ca="1">_FV(EC234,"Fechamento anterior",TRUE)</f>
        <v>1.01</v>
      </c>
      <c r="DO234" s="28">
        <f t="shared" ca="1" si="235"/>
        <v>0.5</v>
      </c>
      <c r="DP234" s="15">
        <f t="shared" ca="1" si="263"/>
        <v>0.96808228980321998</v>
      </c>
      <c r="DQ234" s="15">
        <f t="shared" ca="1" si="264"/>
        <v>1.05191771019678</v>
      </c>
      <c r="DR234" s="9"/>
      <c r="DS234" s="9"/>
      <c r="DT234" s="9"/>
      <c r="DU234" s="89">
        <v>8.0046269519953736E-2</v>
      </c>
      <c r="DV234" s="89">
        <f t="shared" ca="1" si="236"/>
        <v>8.300536672629702E-2</v>
      </c>
      <c r="DW234" s="72">
        <f t="shared" ca="1" si="237"/>
        <v>0.32395065959312069</v>
      </c>
      <c r="DX234" s="37"/>
      <c r="DY234" s="35">
        <f t="shared" si="247"/>
        <v>4.6303347611160874E-2</v>
      </c>
      <c r="DZ234" s="56"/>
      <c r="EA234" s="56"/>
      <c r="EC234" s="2" t="e" vm="236">
        <v>#VALUE!</v>
      </c>
      <c r="EE234" s="10" cm="1">
        <f t="array" aca="1" ref="EE234" ca="1">_FV(EC234,"Ações em circulação",TRUE)</f>
        <v>205018000</v>
      </c>
      <c r="EF234" s="18">
        <f>VLOOKUP(BP234,Fundamentus!A:U,5,FALSE)</f>
        <v>0.79900000000000004</v>
      </c>
      <c r="EG234" s="2">
        <f t="shared" ca="1" si="238"/>
        <v>259159173.96745932</v>
      </c>
      <c r="EH234" s="17">
        <v>-20421742.908635791</v>
      </c>
      <c r="EI234" s="17">
        <f t="shared" ca="1" si="239"/>
        <v>-20421742.908635791</v>
      </c>
      <c r="EK234" s="16">
        <f t="shared" ca="1" si="226"/>
        <v>0</v>
      </c>
      <c r="EL234" s="32" t="str">
        <f>IF(VLOOKUP(BP234,Fundamentus!A:U,3,FALSE)&lt;15,"Bom",IF(VLOOKUP(BP234,Fundamentus!A:U,3,FALSE)&gt;15,"Ruim","n/a"))</f>
        <v>Bom</v>
      </c>
      <c r="EM234" s="28" t="str">
        <f>IF(VLOOKUP(BP234,Fundamentus!A:U,4,FALSE)&lt;1,"Baixo",IF(VLOOKUP(BP234,Fundamentus!A:U,4,FALSE)&lt;1.5,"Moderado",IF(VLOOKUP(BP234,Fundamentus!A:U,4,FALSE)&gt;1.5,"Alto","n/a")))</f>
        <v>Baixo</v>
      </c>
      <c r="EN234" s="17" t="str">
        <f>IF(VLOOKUP(BP234,Fundamentus!A:U,8,FALSE)&lt;0,"Risco elevado",IF(VLOOKUP(BP234,Fundamentus!A:U,8,FALSE)&lt;1,"Saudável",IF(VLOOKUP(BP234,Fundamentus!A:U,8,FALSE)&lt;3,"Estável",IF(VLOOKUP(BP234,Fundamentus!A:U,8,FALSE)&gt;3,"Alerta","n/a"))))</f>
        <v>Estável</v>
      </c>
      <c r="EO234" s="28" t="str">
        <f t="shared" si="240"/>
        <v>Ruim</v>
      </c>
      <c r="EP234" s="17" t="str">
        <f>IF(VLOOKUP(BP234,Fundamentus!A:U,12,FALSE)&lt;2,"Subvalorizada",IF(VLOOKUP(BP234,Fundamentus!A:U,12,FALSE)&lt;6,"Muita barata",IF(VLOOKUP(BP234,Fundamentus!A:U,12,FALSE)&lt;6,"Barata",IF(VLOOKUP(BP234,Fundamentus!A:U,12,FALSE)&lt;8,"Atrativa",IF(VLOOKUP(BP234,Fundamentus!A:U,12,FALSE)&gt;8,"Supervalorizada","n/a")))))</f>
        <v>Muita barata</v>
      </c>
      <c r="ER234" s="17" t="str">
        <f>IF(VLOOKUP(BP234,Fundamentus!A:U,17,FALSE)&lt;0.1,"Fraco retorno",IF(VLOOKUP(BP234,Fundamentus!A:U,17,FALSE)&gt;0.1,"Bom retorno","n/a"))</f>
        <v>Fraco retorno</v>
      </c>
      <c r="ES234" s="17" t="str">
        <f>IF(VLOOKUP(BP234,Fundamentus!A:U,16,FALSE)&lt;0.1,"Ineficiente",IF(VLOOKUP(BP234,Fundamentus!A:U,16,FALSE)&gt;0.1,"Eficiente","n/a"))</f>
        <v>Ineficiente</v>
      </c>
      <c r="ET234" s="33" t="str">
        <f>IF(VLOOKUP(BP234,Fundamentus!A:U,16,FALSE)&lt;0.1,"Oper. Ineficiente",IF(VLOOKUP(BP234,Fundamentus!A:U,16,FALSE)&gt;0.1,"Oper.Eficiente","n/a"))</f>
        <v>Oper. Ineficiente</v>
      </c>
      <c r="EU234" s="34">
        <f>VLOOKUP(BP234,Fundamentus!A:U,14,FALSE)</f>
        <v>-7.8799999999999995E-2</v>
      </c>
      <c r="EV234" s="17" t="str">
        <f>IF(VLOOKUP(BP234,Fundamentus!A:U,21,FALSE)&lt;0,"Negativo",IF(VLOOKUP(BP234,Fundamentus!A:U,21,FALSE)&lt;0.05,"Fraco",IF(VLOOKUP(BP234,Fundamentus!A:U,21,FALSE)&lt;0.1,"Bom",IF(VLOOKUP(BP234,Fundamentus!A:U,21,FALSE)&gt;0.1,"Muito bom","n/a"))))</f>
        <v>Muito bom</v>
      </c>
      <c r="EX234" s="29" t="str">
        <f>IF(VLOOKUP(BP234,Fundamentus!A:U,15,FALSE)&gt;1,"Bom",IF(VLOOKUP(BP234,Fundamentus!A:U,15,FALSE)&lt;1,"Ruim","n/a"))</f>
        <v>Bom</v>
      </c>
      <c r="EY234" s="17" t="str">
        <f>IF(VLOOKUP(BP234,Fundamentus!A:U,20,FALSE)&lt;0.5,"Baixa",IF(VLOOKUP(BP234,Fundamentus!A:U,20,FALSE)&lt;1,"Moderada",IF(VLOOKUP(BP234,Fundamentus!A:U,20,FALSE)&lt;2,"Alerta",IF(VLOOKUP(BP234,Fundamentus!A:U,20,FALSE)&gt;2,"Alta","n/a"))))</f>
        <v>Baixa</v>
      </c>
    </row>
    <row r="235" spans="1:155" s="2" customFormat="1" ht="11.25" x14ac:dyDescent="0.2">
      <c r="A235" s="4">
        <v>3.23</v>
      </c>
      <c r="B235" s="4">
        <v>3.07</v>
      </c>
      <c r="C235" s="4">
        <v>2.97</v>
      </c>
      <c r="D235" s="4">
        <v>2.84</v>
      </c>
      <c r="E235" s="4">
        <v>2.85</v>
      </c>
      <c r="F235" s="4">
        <v>2.7</v>
      </c>
      <c r="G235" s="4">
        <v>2.8</v>
      </c>
      <c r="H235" s="4">
        <v>2.89</v>
      </c>
      <c r="I235" s="4">
        <v>2.94</v>
      </c>
      <c r="J235" s="4">
        <v>3.08</v>
      </c>
      <c r="K235" s="4">
        <v>3.08</v>
      </c>
      <c r="L235" s="4">
        <v>3.06</v>
      </c>
      <c r="M235" s="4">
        <v>3.06</v>
      </c>
      <c r="N235" s="4">
        <v>2.95</v>
      </c>
      <c r="O235" s="4">
        <v>3.29</v>
      </c>
      <c r="P235" s="4">
        <v>3.3</v>
      </c>
      <c r="Q235" s="4">
        <v>3.27</v>
      </c>
      <c r="R235" s="4">
        <v>3.21</v>
      </c>
      <c r="S235" s="4">
        <v>3.04</v>
      </c>
      <c r="T235" s="4">
        <v>3.09</v>
      </c>
      <c r="U235" s="4">
        <v>3.14</v>
      </c>
      <c r="V235" s="4">
        <v>3.16</v>
      </c>
      <c r="W235" s="4">
        <v>3.05</v>
      </c>
      <c r="X235" s="4">
        <v>2.95</v>
      </c>
      <c r="Y235" s="4">
        <v>2.86</v>
      </c>
      <c r="Z235" s="4">
        <v>2.83</v>
      </c>
      <c r="AA235" s="4">
        <v>2.85</v>
      </c>
      <c r="AB235" s="4">
        <v>2.71</v>
      </c>
      <c r="AC235" s="4">
        <v>2.42</v>
      </c>
      <c r="AD235" s="4">
        <v>2.6</v>
      </c>
      <c r="AE235" s="4">
        <v>2.64</v>
      </c>
      <c r="AF235" s="4">
        <v>2.46</v>
      </c>
      <c r="AG235" s="4">
        <v>2.4500000000000002</v>
      </c>
      <c r="AH235" s="4">
        <v>2.1800000000000002</v>
      </c>
      <c r="AI235" s="4">
        <v>2.12</v>
      </c>
      <c r="AJ235" s="4">
        <v>2.13</v>
      </c>
      <c r="AK235" s="4">
        <v>2.02</v>
      </c>
      <c r="AL235" s="4">
        <v>2.04</v>
      </c>
      <c r="AM235" s="4">
        <v>1.89</v>
      </c>
      <c r="AN235" s="4">
        <v>1.9</v>
      </c>
      <c r="AO235" s="4">
        <v>1.76</v>
      </c>
      <c r="AP235" s="4">
        <v>1.77</v>
      </c>
      <c r="AQ235" s="4">
        <v>1.73</v>
      </c>
      <c r="AR235" s="4">
        <v>1.65</v>
      </c>
      <c r="AS235" s="4">
        <v>1.74</v>
      </c>
      <c r="AT235" s="4">
        <v>1.78</v>
      </c>
      <c r="AU235" s="4">
        <v>1.845</v>
      </c>
      <c r="AV235" s="4">
        <v>1.86</v>
      </c>
      <c r="AW235" s="4">
        <v>1.74</v>
      </c>
      <c r="AX235" s="4">
        <v>1.76</v>
      </c>
      <c r="AY235" s="12">
        <v>1.76</v>
      </c>
      <c r="AZ235" s="12">
        <v>1.8</v>
      </c>
      <c r="BA235" s="12">
        <v>1.81</v>
      </c>
      <c r="BB235" s="15">
        <v>1.82</v>
      </c>
      <c r="BC235" s="52">
        <v>1.7</v>
      </c>
      <c r="BD235" s="52">
        <v>2.14</v>
      </c>
      <c r="BE235" s="52">
        <v>1.94</v>
      </c>
      <c r="BF235" s="52">
        <v>1.98</v>
      </c>
      <c r="BG235" s="67">
        <v>1.83</v>
      </c>
      <c r="BH235" s="52">
        <v>1.72</v>
      </c>
      <c r="BI235" s="52">
        <v>1.63</v>
      </c>
      <c r="BJ235" s="52">
        <v>1.71</v>
      </c>
      <c r="BK235" s="52">
        <v>1.54</v>
      </c>
      <c r="BL235" s="52">
        <v>1.52</v>
      </c>
      <c r="BM235" s="52">
        <v>1.48</v>
      </c>
      <c r="BN235" s="52">
        <v>1.4</v>
      </c>
      <c r="BO235" s="52" cm="1">
        <f t="array" aca="1" ref="BO235" ca="1">_FV(EC235,"Preço")</f>
        <v>1.4</v>
      </c>
      <c r="BP235" s="69" t="s">
        <v>231</v>
      </c>
      <c r="BQ235" s="36" cm="1">
        <f t="array" aca="1" ref="BQ235" ca="1">_FV(EC235,"Média de volume",TRUE)</f>
        <v>15860280</v>
      </c>
      <c r="BR235" s="36">
        <v>12651100</v>
      </c>
      <c r="BS235" s="36" cm="1">
        <f t="array" aca="1" ref="BS235" ca="1">_FV(EC235,"Volume")</f>
        <v>12651100</v>
      </c>
      <c r="BT235" s="24" cm="1">
        <f t="array" aca="1" ref="BT235" ca="1">_FV(EC235,"Beta")</f>
        <v>1.1789000000000001</v>
      </c>
      <c r="BU235" s="71" cm="1">
        <f t="array" aca="1" ref="BU235" ca="1">_FV(EC235,"Variação (%)",TRUE)</f>
        <v>-1.4085E-2</v>
      </c>
      <c r="BW235" s="17" cm="1">
        <f t="array" aca="1" ref="BW235" ca="1">_FV(EC235,"Baixo")</f>
        <v>1.4</v>
      </c>
      <c r="BX235" s="17" cm="1">
        <f t="array" aca="1" ref="BX235" ca="1">_FV(EC235,"Alto")</f>
        <v>1.44</v>
      </c>
      <c r="BY235" s="24"/>
      <c r="BZ235" s="63" t="e">
        <f ca="1">SQRT(22.5*(BO235/VLOOKUP(BP235,Fundamentus!A:U,3,FALSE))*(BO235/VLOOKUP(BP235,Fundamentus!A:U,4,FALSE)))</f>
        <v>#NUM!</v>
      </c>
      <c r="CB235" s="62">
        <f t="shared" ca="1" si="241"/>
        <v>0</v>
      </c>
      <c r="CC235" s="8"/>
      <c r="CD235" s="61">
        <f t="shared" si="242"/>
        <v>1.4</v>
      </c>
      <c r="CE235" s="61">
        <f t="shared" si="243"/>
        <v>3.3</v>
      </c>
      <c r="CF235" s="61">
        <f t="shared" si="244"/>
        <v>2.3717424242424237</v>
      </c>
      <c r="CG235" s="14"/>
      <c r="CH235" s="35">
        <f t="shared" si="227"/>
        <v>1.1660392194562932</v>
      </c>
      <c r="CI235" s="15">
        <f t="shared" si="245"/>
        <v>1.3700000000000045</v>
      </c>
      <c r="CJ235" s="35">
        <f t="shared" si="228"/>
        <v>1.5739607805437159</v>
      </c>
      <c r="CL235" s="14"/>
      <c r="CM235" s="17">
        <f t="shared" si="229"/>
        <v>-1.1333333333333333</v>
      </c>
      <c r="CN235" s="17">
        <f t="shared" si="230"/>
        <v>0.1333333333333333</v>
      </c>
      <c r="CO235" s="17">
        <f t="shared" si="231"/>
        <v>0.76666666666666661</v>
      </c>
      <c r="CP235" s="38">
        <f t="shared" si="246"/>
        <v>2.0333333333333332</v>
      </c>
      <c r="CQ235" s="17">
        <f t="shared" si="232"/>
        <v>2.6666666666666665</v>
      </c>
      <c r="CR235" s="17">
        <f t="shared" si="233"/>
        <v>3.9333333333333331</v>
      </c>
      <c r="CS235" s="17">
        <f t="shared" si="234"/>
        <v>4.5666666666666664</v>
      </c>
      <c r="CT235" s="2" cm="1">
        <f t="array" aca="1" ref="CT235" ca="1">MAX(_xlfn._xlws.FILTER(CM235:CS235,CM235:CS235&lt;BO235))</f>
        <v>0.76666666666666661</v>
      </c>
      <c r="CU235" s="2" cm="1">
        <f t="array" aca="1" ref="CU235" ca="1">MIN(_xlfn._xlws.FILTER($CM235:$CS235,$CM235:$CS235&gt;BO235))</f>
        <v>2.0333333333333332</v>
      </c>
      <c r="CV235" s="16">
        <f t="shared" ca="1" si="248"/>
        <v>1.6521739130434785</v>
      </c>
      <c r="CW235" s="20">
        <f t="shared" ca="1" si="249"/>
        <v>-0.82608695652173925</v>
      </c>
      <c r="CX235" s="20">
        <f t="shared" ca="1" si="250"/>
        <v>-0.55072463768115953</v>
      </c>
      <c r="CY235" s="20">
        <f t="shared" ca="1" si="251"/>
        <v>-0.33043478260869569</v>
      </c>
      <c r="CZ235" s="20">
        <f t="shared" ca="1" si="252"/>
        <v>-0.18357487922705318</v>
      </c>
      <c r="DA235" s="20">
        <f t="shared" ca="1" si="253"/>
        <v>-9.7186700767263434E-2</v>
      </c>
      <c r="DB235" s="20">
        <f t="shared" ca="1" si="254"/>
        <v>-5.0065876152832679E-2</v>
      </c>
      <c r="DC235" s="20">
        <f t="shared" ca="1" si="255"/>
        <v>-2.5418060200668901E-2</v>
      </c>
      <c r="DD235" s="21">
        <f t="shared" ca="1" si="256"/>
        <v>2.5418060200668901E-2</v>
      </c>
      <c r="DE235" s="21">
        <f t="shared" ca="1" si="257"/>
        <v>5.0065876152832679E-2</v>
      </c>
      <c r="DF235" s="21">
        <f t="shared" ca="1" si="258"/>
        <v>9.7186700767263434E-2</v>
      </c>
      <c r="DG235" s="21">
        <f t="shared" ca="1" si="259"/>
        <v>0.18357487922705318</v>
      </c>
      <c r="DH235" s="21">
        <f t="shared" ca="1" si="260"/>
        <v>0.33043478260869569</v>
      </c>
      <c r="DI235" s="21">
        <f t="shared" ca="1" si="261"/>
        <v>0.55072463768115953</v>
      </c>
      <c r="DJ235" s="21">
        <f t="shared" ca="1" si="262"/>
        <v>0.82608695652173925</v>
      </c>
      <c r="DL235" s="16" cm="1">
        <f t="array" aca="1" ref="DL235" ca="1">MAX(_xlfn._xlws.FILTER(CW235:DJ235,CW235:DJ235&lt;BU235))</f>
        <v>-2.5418060200668901E-2</v>
      </c>
      <c r="DM235" s="16" cm="1">
        <f t="array" aca="1" ref="DM235" ca="1">MIN(_xlfn._xlws.FILTER(CW235:DJ235,CW235:DJ235&gt;BU235))</f>
        <v>2.5418060200668901E-2</v>
      </c>
      <c r="DN235" s="2" cm="1">
        <f t="array" aca="1" ref="DN235" ca="1">_FV(EC235,"Fechamento anterior",TRUE)</f>
        <v>1.42</v>
      </c>
      <c r="DO235" s="28">
        <f t="shared" ca="1" si="235"/>
        <v>0.22294292068198665</v>
      </c>
      <c r="DP235" s="15">
        <f t="shared" ca="1" si="263"/>
        <v>1.3839063545150501</v>
      </c>
      <c r="DQ235" s="15">
        <f t="shared" ca="1" si="264"/>
        <v>1.4560936454849498</v>
      </c>
      <c r="DR235" s="9"/>
      <c r="DS235" s="9"/>
      <c r="DT235" s="9"/>
      <c r="DU235" s="89">
        <v>4.102564102564106E-2</v>
      </c>
      <c r="DV235" s="89">
        <f t="shared" ca="1" si="236"/>
        <v>5.0836120401337802E-2</v>
      </c>
      <c r="DW235" s="72">
        <f t="shared" ca="1" si="237"/>
        <v>0.1470871013536153</v>
      </c>
      <c r="DX235" s="37"/>
      <c r="DY235" s="35">
        <f t="shared" si="247"/>
        <v>0.10198039027185571</v>
      </c>
      <c r="DZ235" s="56"/>
      <c r="EA235" s="56"/>
      <c r="EC235" s="2" t="e" vm="237">
        <v>#VALUE!</v>
      </c>
      <c r="EE235" s="10" cm="1">
        <f t="array" aca="1" ref="EE235" ca="1">_FV(EC235,"Ações em circulação",TRUE)</f>
        <v>1358937000</v>
      </c>
      <c r="EF235" s="18">
        <f>VLOOKUP(BP235,Fundamentus!A:U,5,FALSE)</f>
        <v>6.2E-2</v>
      </c>
      <c r="EG235" s="2">
        <f t="shared" ca="1" si="238"/>
        <v>30685674193.548382</v>
      </c>
      <c r="EH235" s="17">
        <v>-503245056.77419353</v>
      </c>
      <c r="EI235" s="17">
        <f t="shared" ca="1" si="239"/>
        <v>-503245056.77419353</v>
      </c>
      <c r="EK235" s="16">
        <f t="shared" ca="1" si="226"/>
        <v>0</v>
      </c>
      <c r="EL235" s="32" t="str">
        <f>IF(VLOOKUP(BP235,Fundamentus!A:U,3,FALSE)&lt;15,"Bom",IF(VLOOKUP(BP235,Fundamentus!A:U,3,FALSE)&gt;15,"Ruim","n/a"))</f>
        <v>Bom</v>
      </c>
      <c r="EM235" s="28" t="str">
        <f>IF(VLOOKUP(BP235,Fundamentus!A:U,4,FALSE)&lt;1,"Baixo",IF(VLOOKUP(BP235,Fundamentus!A:U,4,FALSE)&lt;1.5,"Moderado",IF(VLOOKUP(BP235,Fundamentus!A:U,4,FALSE)&gt;1.5,"Alto","n/a")))</f>
        <v>Baixo</v>
      </c>
      <c r="EN235" s="17" t="str">
        <f>IF(VLOOKUP(BP235,Fundamentus!A:U,8,FALSE)&lt;0,"Risco elevado",IF(VLOOKUP(BP235,Fundamentus!A:U,8,FALSE)&lt;1,"Saudável",IF(VLOOKUP(BP235,Fundamentus!A:U,8,FALSE)&lt;3,"Estável",IF(VLOOKUP(BP235,Fundamentus!A:U,8,FALSE)&gt;3,"Alerta","n/a"))))</f>
        <v>Estável</v>
      </c>
      <c r="EO235" s="28" t="str">
        <f t="shared" si="240"/>
        <v>Ruim</v>
      </c>
      <c r="EP235" s="17" t="str">
        <f>IF(VLOOKUP(BP235,Fundamentus!A:U,12,FALSE)&lt;2,"Subvalorizada",IF(VLOOKUP(BP235,Fundamentus!A:U,12,FALSE)&lt;6,"Muita barata",IF(VLOOKUP(BP235,Fundamentus!A:U,12,FALSE)&lt;6,"Barata",IF(VLOOKUP(BP235,Fundamentus!A:U,12,FALSE)&lt;8,"Atrativa",IF(VLOOKUP(BP235,Fundamentus!A:U,12,FALSE)&gt;8,"Supervalorizada","n/a")))))</f>
        <v>Muita barata</v>
      </c>
      <c r="ER235" s="17" t="str">
        <f>IF(VLOOKUP(BP235,Fundamentus!A:U,17,FALSE)&lt;0.1,"Fraco retorno",IF(VLOOKUP(BP235,Fundamentus!A:U,17,FALSE)&gt;0.1,"Bom retorno","n/a"))</f>
        <v>Fraco retorno</v>
      </c>
      <c r="ES235" s="17" t="str">
        <f>IF(VLOOKUP(BP235,Fundamentus!A:U,16,FALSE)&lt;0.1,"Ineficiente",IF(VLOOKUP(BP235,Fundamentus!A:U,16,FALSE)&gt;0.1,"Eficiente","n/a"))</f>
        <v>Ineficiente</v>
      </c>
      <c r="ET235" s="33" t="str">
        <f>IF(VLOOKUP(BP235,Fundamentus!A:U,16,FALSE)&lt;0.1,"Oper. Ineficiente",IF(VLOOKUP(BP235,Fundamentus!A:U,16,FALSE)&gt;0.1,"Oper.Eficiente","n/a"))</f>
        <v>Oper. Ineficiente</v>
      </c>
      <c r="EU235" s="34">
        <f>VLOOKUP(BP235,Fundamentus!A:U,14,FALSE)</f>
        <v>-1.6400000000000001E-2</v>
      </c>
      <c r="EV235" s="17" t="str">
        <f>IF(VLOOKUP(BP235,Fundamentus!A:U,21,FALSE)&lt;0,"Negativo",IF(VLOOKUP(BP235,Fundamentus!A:U,21,FALSE)&lt;0.05,"Fraco",IF(VLOOKUP(BP235,Fundamentus!A:U,21,FALSE)&lt;0.1,"Bom",IF(VLOOKUP(BP235,Fundamentus!A:U,21,FALSE)&gt;0.1,"Muito bom","n/a"))))</f>
        <v>Muito bom</v>
      </c>
      <c r="EX235" s="29" t="str">
        <f>IF(VLOOKUP(BP235,Fundamentus!A:U,15,FALSE)&gt;1,"Bom",IF(VLOOKUP(BP235,Fundamentus!A:U,15,FALSE)&lt;1,"Ruim","n/a"))</f>
        <v>Bom</v>
      </c>
      <c r="EY235" s="17" t="str">
        <f>IF(VLOOKUP(BP235,Fundamentus!A:U,20,FALSE)&lt;0.5,"Baixa",IF(VLOOKUP(BP235,Fundamentus!A:U,20,FALSE)&lt;1,"Moderada",IF(VLOOKUP(BP235,Fundamentus!A:U,20,FALSE)&lt;2,"Alerta",IF(VLOOKUP(BP235,Fundamentus!A:U,20,FALSE)&gt;2,"Alta","n/a"))))</f>
        <v>Alta</v>
      </c>
    </row>
    <row r="236" spans="1:155" s="2" customFormat="1" ht="11.25" x14ac:dyDescent="0.2">
      <c r="A236" s="4">
        <v>28.22</v>
      </c>
      <c r="B236" s="4">
        <v>27.14</v>
      </c>
      <c r="C236" s="4">
        <v>27.69</v>
      </c>
      <c r="D236" s="4">
        <v>27</v>
      </c>
      <c r="E236" s="4">
        <v>27.18</v>
      </c>
      <c r="F236" s="4">
        <v>27.18</v>
      </c>
      <c r="G236" s="4">
        <v>26.45</v>
      </c>
      <c r="H236" s="4">
        <v>26.61</v>
      </c>
      <c r="I236" s="4">
        <v>26.59</v>
      </c>
      <c r="J236" s="4">
        <v>26.73</v>
      </c>
      <c r="K236" s="4">
        <v>26.83</v>
      </c>
      <c r="L236" s="4">
        <v>27.11</v>
      </c>
      <c r="M236" s="4">
        <v>27.12</v>
      </c>
      <c r="N236" s="4">
        <v>26.16</v>
      </c>
      <c r="O236" s="4">
        <v>26.55</v>
      </c>
      <c r="P236" s="4">
        <v>28.27</v>
      </c>
      <c r="Q236" s="4">
        <v>28.22</v>
      </c>
      <c r="R236" s="4">
        <v>28.12</v>
      </c>
      <c r="S236" s="4">
        <v>28.77</v>
      </c>
      <c r="T236" s="4">
        <v>28.42</v>
      </c>
      <c r="U236" s="4">
        <v>27.5</v>
      </c>
      <c r="V236" s="4">
        <v>27.25</v>
      </c>
      <c r="W236" s="4">
        <v>26.86</v>
      </c>
      <c r="X236" s="4">
        <v>26.33</v>
      </c>
      <c r="Y236" s="4">
        <v>26.62</v>
      </c>
      <c r="Z236" s="4">
        <v>26.37</v>
      </c>
      <c r="AA236" s="4">
        <v>26.09</v>
      </c>
      <c r="AB236" s="4">
        <v>26.03</v>
      </c>
      <c r="AC236" s="4">
        <v>25.37</v>
      </c>
      <c r="AD236" s="4">
        <v>25.6</v>
      </c>
      <c r="AE236" s="4">
        <v>24.71</v>
      </c>
      <c r="AF236" s="4">
        <v>24.73</v>
      </c>
      <c r="AG236" s="4">
        <v>24.51</v>
      </c>
      <c r="AH236" s="4">
        <v>23.92</v>
      </c>
      <c r="AI236" s="4">
        <v>24.11</v>
      </c>
      <c r="AJ236" s="4">
        <v>23.74</v>
      </c>
      <c r="AK236" s="4">
        <v>24.21</v>
      </c>
      <c r="AL236" s="4">
        <v>25.35</v>
      </c>
      <c r="AM236" s="4">
        <v>26.62</v>
      </c>
      <c r="AN236" s="4">
        <v>27.68</v>
      </c>
      <c r="AO236" s="4">
        <v>27.78</v>
      </c>
      <c r="AP236" s="4">
        <v>28.75</v>
      </c>
      <c r="AQ236" s="4">
        <v>27.98</v>
      </c>
      <c r="AR236" s="4">
        <v>27.31</v>
      </c>
      <c r="AS236" s="4">
        <v>28.06</v>
      </c>
      <c r="AT236" s="4">
        <v>27.88</v>
      </c>
      <c r="AU236" s="4">
        <v>28.274999999999999</v>
      </c>
      <c r="AV236" s="4">
        <v>28.64</v>
      </c>
      <c r="AW236" s="4">
        <v>27.98</v>
      </c>
      <c r="AX236" s="4">
        <v>27.8</v>
      </c>
      <c r="AY236" s="12">
        <v>27.43</v>
      </c>
      <c r="AZ236" s="12">
        <v>28.01</v>
      </c>
      <c r="BA236" s="12">
        <v>28.93</v>
      </c>
      <c r="BB236" s="15">
        <v>29.41</v>
      </c>
      <c r="BC236" s="52">
        <v>29.4</v>
      </c>
      <c r="BD236" s="52">
        <v>24.42</v>
      </c>
      <c r="BE236" s="52">
        <v>23.42</v>
      </c>
      <c r="BF236" s="52">
        <v>21.71</v>
      </c>
      <c r="BG236" s="67">
        <v>21.59</v>
      </c>
      <c r="BH236" s="52">
        <v>21.35</v>
      </c>
      <c r="BI236" s="52">
        <v>21.73</v>
      </c>
      <c r="BJ236" s="52">
        <v>22.43</v>
      </c>
      <c r="BK236" s="52">
        <v>21.2</v>
      </c>
      <c r="BL236" s="52">
        <v>20.260000000000002</v>
      </c>
      <c r="BM236" s="52">
        <v>20.239999999999998</v>
      </c>
      <c r="BN236" s="52">
        <v>18.350000000000001</v>
      </c>
      <c r="BO236" s="52" cm="1">
        <f t="array" aca="1" ref="BO236" ca="1">_FV(EC236,"Preço")</f>
        <v>18.350000000000001</v>
      </c>
      <c r="BP236" s="69" t="s">
        <v>232</v>
      </c>
      <c r="BQ236" s="36" cm="1">
        <f t="array" aca="1" ref="BQ236" ca="1">_FV(EC236,"Média de volume",TRUE)</f>
        <v>45529940</v>
      </c>
      <c r="BR236" s="36">
        <v>90407300</v>
      </c>
      <c r="BS236" s="36" cm="1">
        <f t="array" aca="1" ref="BS236" ca="1">_FV(EC236,"Volume")</f>
        <v>90407300</v>
      </c>
      <c r="BT236" s="24" cm="1">
        <f t="array" aca="1" ref="BT236" ca="1">_FV(EC236,"Beta")</f>
        <v>1.0009999999999999</v>
      </c>
      <c r="BU236" s="71" cm="1">
        <f t="array" aca="1" ref="BU236" ca="1">_FV(EC236,"Variação (%)",TRUE)</f>
        <v>-6.8528000000000006E-2</v>
      </c>
      <c r="BW236" s="17" cm="1">
        <f t="array" aca="1" ref="BW236" ca="1">_FV(EC236,"Baixo")</f>
        <v>18.12</v>
      </c>
      <c r="BX236" s="17" cm="1">
        <f t="array" aca="1" ref="BX236" ca="1">_FV(EC236,"Alto")</f>
        <v>20</v>
      </c>
      <c r="BY236" s="24"/>
      <c r="BZ236" s="63">
        <f ca="1">SQRT(22.5*(BO236/VLOOKUP(BP236,Fundamentus!A:U,3,FALSE))*(BO236/VLOOKUP(BP236,Fundamentus!A:U,4,FALSE)))</f>
        <v>57.433560156831668</v>
      </c>
      <c r="CB236" s="62">
        <f t="shared" ca="1" si="241"/>
        <v>0</v>
      </c>
      <c r="CC236" s="8"/>
      <c r="CD236" s="61">
        <f t="shared" si="242"/>
        <v>18.350000000000001</v>
      </c>
      <c r="CE236" s="61">
        <f t="shared" si="243"/>
        <v>29.41</v>
      </c>
      <c r="CF236" s="61">
        <f t="shared" si="244"/>
        <v>26.065075757575766</v>
      </c>
      <c r="CG236" s="14"/>
      <c r="CH236" s="35">
        <f t="shared" si="227"/>
        <v>15.192311444547634</v>
      </c>
      <c r="CI236" s="15">
        <f t="shared" si="245"/>
        <v>17.869999999999891</v>
      </c>
      <c r="CJ236" s="35">
        <f t="shared" si="228"/>
        <v>20.547688555452147</v>
      </c>
      <c r="CL236" s="14"/>
      <c r="CM236" s="17">
        <f t="shared" si="229"/>
        <v>3.6033333333333459</v>
      </c>
      <c r="CN236" s="17">
        <f t="shared" si="230"/>
        <v>10.976666666666674</v>
      </c>
      <c r="CO236" s="17">
        <f t="shared" si="231"/>
        <v>14.663333333333345</v>
      </c>
      <c r="CP236" s="38">
        <f t="shared" si="246"/>
        <v>22.036666666666672</v>
      </c>
      <c r="CQ236" s="17">
        <f t="shared" si="232"/>
        <v>25.723333333333343</v>
      </c>
      <c r="CR236" s="17">
        <f t="shared" si="233"/>
        <v>33.096666666666671</v>
      </c>
      <c r="CS236" s="17">
        <f t="shared" si="234"/>
        <v>36.783333333333346</v>
      </c>
      <c r="CT236" s="2" cm="1">
        <f t="array" aca="1" ref="CT236" ca="1">MAX(_xlfn._xlws.FILTER(CM236:CS236,CM236:CS236&lt;BO236))</f>
        <v>14.663333333333345</v>
      </c>
      <c r="CU236" s="2" cm="1">
        <f t="array" aca="1" ref="CU236" ca="1">MIN(_xlfn._xlws.FILTER($CM236:$CS236,$CM236:$CS236&gt;BO236))</f>
        <v>22.036666666666672</v>
      </c>
      <c r="CV236" s="16">
        <f t="shared" ca="1" si="248"/>
        <v>0.50284155489883986</v>
      </c>
      <c r="CW236" s="20">
        <f t="shared" ca="1" si="249"/>
        <v>-0.25142077744941993</v>
      </c>
      <c r="CX236" s="20">
        <f t="shared" ca="1" si="250"/>
        <v>-0.16761385163294662</v>
      </c>
      <c r="CY236" s="20">
        <f t="shared" ca="1" si="251"/>
        <v>-0.10056831097976797</v>
      </c>
      <c r="CZ236" s="20">
        <f t="shared" ca="1" si="252"/>
        <v>-5.5871283877648871E-2</v>
      </c>
      <c r="DA236" s="20">
        <f t="shared" ca="1" si="253"/>
        <v>-2.9578914994049403E-2</v>
      </c>
      <c r="DB236" s="20">
        <f t="shared" ca="1" si="254"/>
        <v>-1.5237622875722419E-2</v>
      </c>
      <c r="DC236" s="20">
        <f t="shared" ca="1" si="255"/>
        <v>-7.7360239215206131E-3</v>
      </c>
      <c r="DD236" s="21">
        <f t="shared" ca="1" si="256"/>
        <v>7.7360239215206131E-3</v>
      </c>
      <c r="DE236" s="21">
        <f t="shared" ca="1" si="257"/>
        <v>1.5237622875722419E-2</v>
      </c>
      <c r="DF236" s="21">
        <f t="shared" ca="1" si="258"/>
        <v>2.9578914994049403E-2</v>
      </c>
      <c r="DG236" s="21">
        <f t="shared" ca="1" si="259"/>
        <v>5.5871283877648871E-2</v>
      </c>
      <c r="DH236" s="21">
        <f t="shared" ca="1" si="260"/>
        <v>0.10056831097976797</v>
      </c>
      <c r="DI236" s="21">
        <f t="shared" ca="1" si="261"/>
        <v>0.16761385163294662</v>
      </c>
      <c r="DJ236" s="21">
        <f t="shared" ca="1" si="262"/>
        <v>0.25142077744941993</v>
      </c>
      <c r="DL236" s="16" cm="1">
        <f t="array" aca="1" ref="DL236" ca="1">MAX(_xlfn._xlws.FILTER(CW236:DJ236,CW236:DJ236&lt;BU236))</f>
        <v>-0.10056831097976797</v>
      </c>
      <c r="DM236" s="16" cm="1">
        <f t="array" aca="1" ref="DM236" ca="1">MIN(_xlfn._xlws.FILTER(CW236:DJ236,CW236:DJ236&gt;BU236))</f>
        <v>-5.5871283877648871E-2</v>
      </c>
      <c r="DN236" s="2" cm="1">
        <f t="array" aca="1" ref="DN236" ca="1">_FV(EC236,"Fechamento anterior",TRUE)</f>
        <v>19.7</v>
      </c>
      <c r="DO236" s="28">
        <f t="shared" ca="1" si="235"/>
        <v>0.71683497259984874</v>
      </c>
      <c r="DP236" s="15">
        <f t="shared" ca="1" si="263"/>
        <v>17.71880427369857</v>
      </c>
      <c r="DQ236" s="15">
        <f t="shared" ca="1" si="264"/>
        <v>18.599335707610315</v>
      </c>
      <c r="DR236" s="9"/>
      <c r="DS236" s="9"/>
      <c r="DT236" s="9"/>
      <c r="DU236" s="89">
        <v>5.2976422040194142E-3</v>
      </c>
      <c r="DV236" s="89">
        <f t="shared" ca="1" si="236"/>
        <v>4.4697027102119098E-2</v>
      </c>
      <c r="DW236" s="72">
        <f t="shared" ca="1" si="237"/>
        <v>0.17925908486360151</v>
      </c>
      <c r="DX236" s="37"/>
      <c r="DY236" s="35">
        <f t="shared" si="247"/>
        <v>1.3388442777261282</v>
      </c>
      <c r="DZ236" s="56"/>
      <c r="EA236" s="56"/>
      <c r="EC236" s="2" t="e" vm="238">
        <v>#VALUE!</v>
      </c>
      <c r="EE236" s="10" cm="1">
        <f t="array" aca="1" ref="EE236" ca="1">_FV(EC236,"Ações em circulação",TRUE)</f>
        <v>5730834000</v>
      </c>
      <c r="EF236" s="18">
        <f>VLOOKUP(BP236,Fundamentus!A:U,5,FALSE)</f>
        <v>0</v>
      </c>
      <c r="EG236" s="2" t="e">
        <f t="shared" ca="1" si="238"/>
        <v>#DIV/0!</v>
      </c>
      <c r="EH236" s="17" t="e">
        <v>#DIV/0!</v>
      </c>
      <c r="EI236" s="17" t="e">
        <f t="shared" ca="1" si="239"/>
        <v>#DIV/0!</v>
      </c>
      <c r="EK236" s="16" t="e">
        <f t="shared" ca="1" si="226"/>
        <v>#DIV/0!</v>
      </c>
      <c r="EL236" s="32" t="str">
        <f>IF(VLOOKUP(BP236,Fundamentus!A:U,3,FALSE)&lt;15,"Bom",IF(VLOOKUP(BP236,Fundamentus!A:U,3,FALSE)&gt;15,"Ruim","n/a"))</f>
        <v>Bom</v>
      </c>
      <c r="EM236" s="28" t="str">
        <f>IF(VLOOKUP(BP236,Fundamentus!A:U,4,FALSE)&lt;1,"Baixo",IF(VLOOKUP(BP236,Fundamentus!A:U,4,FALSE)&lt;1.5,"Moderado",IF(VLOOKUP(BP236,Fundamentus!A:U,4,FALSE)&gt;1.5,"Alto","n/a")))</f>
        <v>Baixo</v>
      </c>
      <c r="EN236" s="17" t="str">
        <f>IF(VLOOKUP(BP236,Fundamentus!A:U,8,FALSE)&lt;0,"Risco elevado",IF(VLOOKUP(BP236,Fundamentus!A:U,8,FALSE)&lt;1,"Saudável",IF(VLOOKUP(BP236,Fundamentus!A:U,8,FALSE)&lt;3,"Estável",IF(VLOOKUP(BP236,Fundamentus!A:U,8,FALSE)&gt;3,"Alerta","n/a"))))</f>
        <v>Saudável</v>
      </c>
      <c r="EO236" s="28" t="str">
        <f t="shared" si="240"/>
        <v>Ruim</v>
      </c>
      <c r="EP236" s="17" t="str">
        <f>IF(VLOOKUP(BP236,Fundamentus!A:U,12,FALSE)&lt;2,"Subvalorizada",IF(VLOOKUP(BP236,Fundamentus!A:U,12,FALSE)&lt;6,"Muita barata",IF(VLOOKUP(BP236,Fundamentus!A:U,12,FALSE)&lt;6,"Barata",IF(VLOOKUP(BP236,Fundamentus!A:U,12,FALSE)&lt;8,"Atrativa",IF(VLOOKUP(BP236,Fundamentus!A:U,12,FALSE)&gt;8,"Supervalorizada","n/a")))))</f>
        <v>Subvalorizada</v>
      </c>
      <c r="ER236" s="17" t="str">
        <f>IF(VLOOKUP(BP236,Fundamentus!A:U,17,FALSE)&lt;0.1,"Fraco retorno",IF(VLOOKUP(BP236,Fundamentus!A:U,17,FALSE)&gt;0.1,"Bom retorno","n/a"))</f>
        <v>Bom retorno</v>
      </c>
      <c r="ES236" s="17" t="str">
        <f>IF(VLOOKUP(BP236,Fundamentus!A:U,16,FALSE)&lt;0.1,"Ineficiente",IF(VLOOKUP(BP236,Fundamentus!A:U,16,FALSE)&gt;0.1,"Eficiente","n/a"))</f>
        <v>Ineficiente</v>
      </c>
      <c r="ET236" s="33" t="str">
        <f>IF(VLOOKUP(BP236,Fundamentus!A:U,16,FALSE)&lt;0.1,"Oper. Ineficiente",IF(VLOOKUP(BP236,Fundamentus!A:U,16,FALSE)&gt;0.1,"Oper.Eficiente","n/a"))</f>
        <v>Oper. Ineficiente</v>
      </c>
      <c r="EU236" s="34">
        <f>VLOOKUP(BP236,Fundamentus!A:U,14,FALSE)</f>
        <v>0</v>
      </c>
      <c r="EV236" s="17" t="str">
        <f>IF(VLOOKUP(BP236,Fundamentus!A:U,21,FALSE)&lt;0,"Negativo",IF(VLOOKUP(BP236,Fundamentus!A:U,21,FALSE)&lt;0.05,"Fraco",IF(VLOOKUP(BP236,Fundamentus!A:U,21,FALSE)&lt;0.1,"Bom",IF(VLOOKUP(BP236,Fundamentus!A:U,21,FALSE)&gt;0.1,"Muito bom","n/a"))))</f>
        <v>Muito bom</v>
      </c>
      <c r="EX236" s="29" t="str">
        <f>IF(VLOOKUP(BP236,Fundamentus!A:U,15,FALSE)&gt;1,"Bom",IF(VLOOKUP(BP236,Fundamentus!A:U,15,FALSE)&lt;1,"Ruim","n/a"))</f>
        <v>Ruim</v>
      </c>
      <c r="EY236" s="17" t="str">
        <f>IF(VLOOKUP(BP236,Fundamentus!A:U,20,FALSE)&lt;0.5,"Baixa",IF(VLOOKUP(BP236,Fundamentus!A:U,20,FALSE)&lt;1,"Moderada",IF(VLOOKUP(BP236,Fundamentus!A:U,20,FALSE)&lt;2,"Alerta",IF(VLOOKUP(BP236,Fundamentus!A:U,20,FALSE)&gt;2,"Alta","n/a"))))</f>
        <v>Baixa</v>
      </c>
    </row>
    <row r="237" spans="1:155" s="2" customFormat="1" ht="11.25" x14ac:dyDescent="0.2">
      <c r="A237" s="4">
        <v>7.48</v>
      </c>
      <c r="B237" s="4">
        <v>7.28</v>
      </c>
      <c r="C237" s="4">
        <v>6.9</v>
      </c>
      <c r="D237" s="4">
        <v>6.77</v>
      </c>
      <c r="E237" s="4">
        <v>7</v>
      </c>
      <c r="F237" s="4">
        <v>7</v>
      </c>
      <c r="G237" s="4">
        <v>5.91</v>
      </c>
      <c r="H237" s="4">
        <v>6.04</v>
      </c>
      <c r="I237" s="4">
        <v>6.28</v>
      </c>
      <c r="J237" s="4">
        <v>6.28</v>
      </c>
      <c r="K237" s="4">
        <v>6.3</v>
      </c>
      <c r="L237" s="4">
        <v>5.9</v>
      </c>
      <c r="M237" s="4">
        <v>5.92</v>
      </c>
      <c r="N237" s="4">
        <v>5.88</v>
      </c>
      <c r="O237" s="4">
        <v>5.9</v>
      </c>
      <c r="P237" s="4">
        <v>5.9</v>
      </c>
      <c r="Q237" s="4">
        <v>5.9</v>
      </c>
      <c r="R237" s="4">
        <v>5.93</v>
      </c>
      <c r="S237" s="4">
        <v>5.84</v>
      </c>
      <c r="T237" s="4">
        <v>5.88</v>
      </c>
      <c r="U237" s="4">
        <v>5.78</v>
      </c>
      <c r="V237" s="4">
        <v>5.71</v>
      </c>
      <c r="W237" s="4">
        <v>5.68</v>
      </c>
      <c r="X237" s="4">
        <v>5.53</v>
      </c>
      <c r="Y237" s="4">
        <v>5.77</v>
      </c>
      <c r="Z237" s="4">
        <v>5.67</v>
      </c>
      <c r="AA237" s="4">
        <v>5.7</v>
      </c>
      <c r="AB237" s="4">
        <v>5.53</v>
      </c>
      <c r="AC237" s="4">
        <v>5.26</v>
      </c>
      <c r="AD237" s="4">
        <v>5.45</v>
      </c>
      <c r="AE237" s="4">
        <v>5.41</v>
      </c>
      <c r="AF237" s="4">
        <v>5.33</v>
      </c>
      <c r="AG237" s="4">
        <v>6.41</v>
      </c>
      <c r="AH237" s="4">
        <v>4.91</v>
      </c>
      <c r="AI237" s="4">
        <v>5.17</v>
      </c>
      <c r="AJ237" s="4">
        <v>5.78</v>
      </c>
      <c r="AK237" s="4">
        <v>5.46</v>
      </c>
      <c r="AL237" s="4">
        <v>5.34</v>
      </c>
      <c r="AM237" s="4">
        <v>5.23</v>
      </c>
      <c r="AN237" s="4">
        <v>5.24</v>
      </c>
      <c r="AO237" s="4">
        <v>5.13</v>
      </c>
      <c r="AP237" s="4">
        <v>5.05</v>
      </c>
      <c r="AQ237" s="4">
        <v>5.03</v>
      </c>
      <c r="AR237" s="4">
        <v>4.99</v>
      </c>
      <c r="AS237" s="4">
        <v>4.8499999999999996</v>
      </c>
      <c r="AT237" s="4">
        <v>4.96</v>
      </c>
      <c r="AU237" s="4">
        <v>5.0449999999999999</v>
      </c>
      <c r="AV237" s="4">
        <v>4.96</v>
      </c>
      <c r="AW237" s="4">
        <v>4.88</v>
      </c>
      <c r="AX237" s="4">
        <v>4.7</v>
      </c>
      <c r="AY237" s="12">
        <v>4.7</v>
      </c>
      <c r="AZ237" s="12">
        <v>4.72</v>
      </c>
      <c r="BA237" s="12">
        <v>4.78</v>
      </c>
      <c r="BB237" s="15">
        <v>4.7</v>
      </c>
      <c r="BC237" s="52">
        <v>4.49</v>
      </c>
      <c r="BD237" s="52">
        <v>4.5999999999999996</v>
      </c>
      <c r="BE237" s="52">
        <v>4.75</v>
      </c>
      <c r="BF237" s="52">
        <v>4.7699999999999996</v>
      </c>
      <c r="BG237" s="67">
        <v>4.91</v>
      </c>
      <c r="BH237" s="52">
        <v>5.05</v>
      </c>
      <c r="BI237" s="52">
        <v>4.9000000000000004</v>
      </c>
      <c r="BJ237" s="52">
        <v>4.96</v>
      </c>
      <c r="BK237" s="52">
        <v>4.9000000000000004</v>
      </c>
      <c r="BL237" s="52">
        <v>4.92</v>
      </c>
      <c r="BM237" s="52">
        <v>4.54</v>
      </c>
      <c r="BN237" s="52">
        <v>4.21</v>
      </c>
      <c r="BO237" s="52" cm="1">
        <f t="array" aca="1" ref="BO237" ca="1">_FV(EC237,"Preço")</f>
        <v>4.21</v>
      </c>
      <c r="BP237" s="69" t="s">
        <v>233</v>
      </c>
      <c r="BQ237" s="36" cm="1">
        <f t="array" aca="1" ref="BQ237" ca="1">_FV(EC237,"Média de volume",TRUE)</f>
        <v>9730</v>
      </c>
      <c r="BR237" s="36">
        <v>25900</v>
      </c>
      <c r="BS237" s="36" cm="1">
        <f t="array" aca="1" ref="BS237" ca="1">_FV(EC237,"Volume")</f>
        <v>25900</v>
      </c>
      <c r="BT237" s="24" cm="1">
        <f t="array" aca="1" ref="BT237" ca="1">_FV(EC237,"Beta")</f>
        <v>0.47860000000000003</v>
      </c>
      <c r="BU237" s="71" cm="1">
        <f t="array" aca="1" ref="BU237" ca="1">_FV(EC237,"Variação (%)",TRUE)</f>
        <v>-7.6754000000000003E-2</v>
      </c>
      <c r="BW237" s="17" cm="1">
        <f t="array" aca="1" ref="BW237" ca="1">_FV(EC237,"Baixo")</f>
        <v>4.1100000000000003</v>
      </c>
      <c r="BX237" s="17" cm="1">
        <f t="array" aca="1" ref="BX237" ca="1">_FV(EC237,"Alto")</f>
        <v>4.5599999999999996</v>
      </c>
      <c r="BY237" s="24"/>
      <c r="BZ237" s="63">
        <f ca="1">SQRT(22.5*(BO237/VLOOKUP(BP237,Fundamentus!A:U,3,FALSE))*(BO237/VLOOKUP(BP237,Fundamentus!A:U,4,FALSE)))</f>
        <v>5.0596803523619194</v>
      </c>
      <c r="CB237" s="62">
        <f t="shared" ca="1" si="241"/>
        <v>0</v>
      </c>
      <c r="CC237" s="8"/>
      <c r="CD237" s="61">
        <f t="shared" si="242"/>
        <v>4.21</v>
      </c>
      <c r="CE237" s="61">
        <f t="shared" si="243"/>
        <v>7.48</v>
      </c>
      <c r="CF237" s="61">
        <f t="shared" si="244"/>
        <v>5.4870454545454539</v>
      </c>
      <c r="CG237" s="14"/>
      <c r="CH237" s="35">
        <f t="shared" si="227"/>
        <v>3.4492969777932685</v>
      </c>
      <c r="CI237" s="15">
        <f t="shared" si="245"/>
        <v>4.0299999999999727</v>
      </c>
      <c r="CJ237" s="35">
        <f t="shared" si="228"/>
        <v>4.6107030222066765</v>
      </c>
      <c r="CL237" s="14"/>
      <c r="CM237" s="17">
        <f t="shared" si="229"/>
        <v>-0.14999999999999947</v>
      </c>
      <c r="CN237" s="17">
        <f t="shared" si="230"/>
        <v>2.0300000000000002</v>
      </c>
      <c r="CO237" s="17">
        <f t="shared" si="231"/>
        <v>3.120000000000001</v>
      </c>
      <c r="CP237" s="38">
        <f t="shared" si="246"/>
        <v>5.3000000000000007</v>
      </c>
      <c r="CQ237" s="17">
        <f t="shared" si="232"/>
        <v>6.3900000000000015</v>
      </c>
      <c r="CR237" s="17">
        <f t="shared" si="233"/>
        <v>8.57</v>
      </c>
      <c r="CS237" s="17">
        <f t="shared" si="234"/>
        <v>9.6600000000000019</v>
      </c>
      <c r="CT237" s="2" cm="1">
        <f t="array" aca="1" ref="CT237" ca="1">MAX(_xlfn._xlws.FILTER(CM237:CS237,CM237:CS237&lt;BO237))</f>
        <v>3.120000000000001</v>
      </c>
      <c r="CU237" s="2" cm="1">
        <f t="array" aca="1" ref="CU237" ca="1">MIN(_xlfn._xlws.FILTER($CM237:$CS237,$CM237:$CS237&gt;BO237))</f>
        <v>5.3000000000000007</v>
      </c>
      <c r="CV237" s="16">
        <f t="shared" ca="1" si="248"/>
        <v>0.69871794871794846</v>
      </c>
      <c r="CW237" s="20">
        <f t="shared" ca="1" si="249"/>
        <v>-0.34935897435897423</v>
      </c>
      <c r="CX237" s="20">
        <f t="shared" ca="1" si="250"/>
        <v>-0.23290598290598283</v>
      </c>
      <c r="CY237" s="20">
        <f t="shared" ca="1" si="251"/>
        <v>-0.13974358974358969</v>
      </c>
      <c r="CZ237" s="20">
        <f t="shared" ca="1" si="252"/>
        <v>-7.76353276353276E-2</v>
      </c>
      <c r="DA237" s="20">
        <f t="shared" ca="1" si="253"/>
        <v>-4.1101055806938146E-2</v>
      </c>
      <c r="DB237" s="20">
        <f t="shared" ca="1" si="254"/>
        <v>-2.1173271173271165E-2</v>
      </c>
      <c r="DC237" s="20">
        <f t="shared" ca="1" si="255"/>
        <v>-1.0749506903353053E-2</v>
      </c>
      <c r="DD237" s="21">
        <f t="shared" ca="1" si="256"/>
        <v>1.0749506903353053E-2</v>
      </c>
      <c r="DE237" s="21">
        <f t="shared" ca="1" si="257"/>
        <v>2.1173271173271165E-2</v>
      </c>
      <c r="DF237" s="21">
        <f t="shared" ca="1" si="258"/>
        <v>4.1101055806938146E-2</v>
      </c>
      <c r="DG237" s="21">
        <f t="shared" ca="1" si="259"/>
        <v>7.76353276353276E-2</v>
      </c>
      <c r="DH237" s="21">
        <f t="shared" ca="1" si="260"/>
        <v>0.13974358974358969</v>
      </c>
      <c r="DI237" s="21">
        <f t="shared" ca="1" si="261"/>
        <v>0.23290598290598283</v>
      </c>
      <c r="DJ237" s="21">
        <f t="shared" ca="1" si="262"/>
        <v>0.34935897435897423</v>
      </c>
      <c r="DL237" s="16" cm="1">
        <f t="array" aca="1" ref="DL237" ca="1">MAX(_xlfn._xlws.FILTER(CW237:DJ237,CW237:DJ237&lt;BU237))</f>
        <v>-7.76353276353276E-2</v>
      </c>
      <c r="DM237" s="16" cm="1">
        <f t="array" aca="1" ref="DM237" ca="1">MIN(_xlfn._xlws.FILTER(CW237:DJ237,CW237:DJ237&gt;BU237))</f>
        <v>-4.1101055806938146E-2</v>
      </c>
      <c r="DN237" s="2" cm="1">
        <f t="array" aca="1" ref="DN237" ca="1">_FV(EC237,"Fechamento anterior",TRUE)</f>
        <v>4.5599999999999996</v>
      </c>
      <c r="DO237" s="28">
        <f t="shared" ca="1" si="235"/>
        <v>2.4112747464991664E-2</v>
      </c>
      <c r="DP237" s="15">
        <f t="shared" ca="1" si="263"/>
        <v>4.2059829059829061</v>
      </c>
      <c r="DQ237" s="15">
        <f t="shared" ca="1" si="264"/>
        <v>4.3725791855203617</v>
      </c>
      <c r="DR237" s="9"/>
      <c r="DS237" s="9"/>
      <c r="DT237" s="9"/>
      <c r="DU237" s="89">
        <v>1.5059015059015069E-2</v>
      </c>
      <c r="DV237" s="89">
        <f t="shared" ca="1" si="236"/>
        <v>3.6534271828389454E-2</v>
      </c>
      <c r="DW237" s="72">
        <f t="shared" ca="1" si="237"/>
        <v>0.30996911177768133</v>
      </c>
      <c r="DX237" s="37"/>
      <c r="DY237" s="35">
        <f t="shared" si="247"/>
        <v>0.29035151110335211</v>
      </c>
      <c r="DZ237" s="56"/>
      <c r="EA237" s="56"/>
      <c r="EC237" s="2" t="e" vm="239">
        <v>#VALUE!</v>
      </c>
      <c r="EE237" s="10" cm="1">
        <f t="array" aca="1" ref="EE237" ca="1">_FV(EC237,"Ações em circulação",TRUE)</f>
        <v>14860570</v>
      </c>
      <c r="EF237" s="18">
        <f>VLOOKUP(BP237,Fundamentus!A:U,5,FALSE)</f>
        <v>9.9049999999999994</v>
      </c>
      <c r="EG237" s="2">
        <f t="shared" ca="1" si="238"/>
        <v>6316304.8662291775</v>
      </c>
      <c r="EH237" s="17">
        <v>5140208.9001373043</v>
      </c>
      <c r="EI237" s="17">
        <f t="shared" ca="1" si="239"/>
        <v>5140208.9001373043</v>
      </c>
      <c r="EK237" s="16">
        <f t="shared" ca="1" si="226"/>
        <v>0</v>
      </c>
      <c r="EL237" s="32" t="str">
        <f>IF(VLOOKUP(BP237,Fundamentus!A:U,3,FALSE)&lt;15,"Bom",IF(VLOOKUP(BP237,Fundamentus!A:U,3,FALSE)&gt;15,"Ruim","n/a"))</f>
        <v>Bom</v>
      </c>
      <c r="EM237" s="28" t="str">
        <f>IF(VLOOKUP(BP237,Fundamentus!A:U,4,FALSE)&lt;1,"Baixo",IF(VLOOKUP(BP237,Fundamentus!A:U,4,FALSE)&lt;1.5,"Moderado",IF(VLOOKUP(BP237,Fundamentus!A:U,4,FALSE)&gt;1.5,"Alto","n/a")))</f>
        <v>Moderado</v>
      </c>
      <c r="EN237" s="17" t="str">
        <f>IF(VLOOKUP(BP237,Fundamentus!A:U,8,FALSE)&lt;0,"Risco elevado",IF(VLOOKUP(BP237,Fundamentus!A:U,8,FALSE)&lt;1,"Saudável",IF(VLOOKUP(BP237,Fundamentus!A:U,8,FALSE)&lt;3,"Estável",IF(VLOOKUP(BP237,Fundamentus!A:U,8,FALSE)&gt;3,"Alerta","n/a"))))</f>
        <v>Alerta</v>
      </c>
      <c r="EO237" s="28" t="str">
        <f t="shared" si="240"/>
        <v>Bom</v>
      </c>
      <c r="EP237" s="17" t="str">
        <f>IF(VLOOKUP(BP237,Fundamentus!A:U,12,FALSE)&lt;2,"Subvalorizada",IF(VLOOKUP(BP237,Fundamentus!A:U,12,FALSE)&lt;6,"Muita barata",IF(VLOOKUP(BP237,Fundamentus!A:U,12,FALSE)&lt;6,"Barata",IF(VLOOKUP(BP237,Fundamentus!A:U,12,FALSE)&lt;8,"Atrativa",IF(VLOOKUP(BP237,Fundamentus!A:U,12,FALSE)&gt;8,"Supervalorizada","n/a")))))</f>
        <v>Subvalorizada</v>
      </c>
      <c r="ER237" s="17" t="str">
        <f>IF(VLOOKUP(BP237,Fundamentus!A:U,17,FALSE)&lt;0.1,"Fraco retorno",IF(VLOOKUP(BP237,Fundamentus!A:U,17,FALSE)&gt;0.1,"Bom retorno","n/a"))</f>
        <v>Bom retorno</v>
      </c>
      <c r="ES237" s="17" t="str">
        <f>IF(VLOOKUP(BP237,Fundamentus!A:U,16,FALSE)&lt;0.1,"Ineficiente",IF(VLOOKUP(BP237,Fundamentus!A:U,16,FALSE)&gt;0.1,"Eficiente","n/a"))</f>
        <v>Ineficiente</v>
      </c>
      <c r="ET237" s="33" t="str">
        <f>IF(VLOOKUP(BP237,Fundamentus!A:U,16,FALSE)&lt;0.1,"Oper. Ineficiente",IF(VLOOKUP(BP237,Fundamentus!A:U,16,FALSE)&gt;0.1,"Oper.Eficiente","n/a"))</f>
        <v>Oper. Ineficiente</v>
      </c>
      <c r="EU237" s="34">
        <f>VLOOKUP(BP237,Fundamentus!A:U,14,FALSE)</f>
        <v>0.81379999999999997</v>
      </c>
      <c r="EV237" s="17" t="str">
        <f>IF(VLOOKUP(BP237,Fundamentus!A:U,21,FALSE)&lt;0,"Negativo",IF(VLOOKUP(BP237,Fundamentus!A:U,21,FALSE)&lt;0.05,"Fraco",IF(VLOOKUP(BP237,Fundamentus!A:U,21,FALSE)&lt;0.1,"Bom",IF(VLOOKUP(BP237,Fundamentus!A:U,21,FALSE)&gt;0.1,"Muito bom","n/a"))))</f>
        <v>Negativo</v>
      </c>
      <c r="EX237" s="29" t="str">
        <f>IF(VLOOKUP(BP237,Fundamentus!A:U,15,FALSE)&gt;1,"Bom",IF(VLOOKUP(BP237,Fundamentus!A:U,15,FALSE)&lt;1,"Ruim","n/a"))</f>
        <v>Bom</v>
      </c>
      <c r="EY237" s="17" t="str">
        <f>IF(VLOOKUP(BP237,Fundamentus!A:U,20,FALSE)&lt;0.5,"Baixa",IF(VLOOKUP(BP237,Fundamentus!A:U,20,FALSE)&lt;1,"Moderada",IF(VLOOKUP(BP237,Fundamentus!A:U,20,FALSE)&lt;2,"Alerta",IF(VLOOKUP(BP237,Fundamentus!A:U,20,FALSE)&gt;2,"Alta","n/a"))))</f>
        <v>Baixa</v>
      </c>
    </row>
    <row r="238" spans="1:155" s="2" customFormat="1" ht="11.25" x14ac:dyDescent="0.2">
      <c r="A238" s="4">
        <v>9.36</v>
      </c>
      <c r="B238" s="4">
        <v>9.17</v>
      </c>
      <c r="C238" s="4">
        <v>9.24</v>
      </c>
      <c r="D238" s="4">
        <v>9.3000000000000007</v>
      </c>
      <c r="E238" s="4">
        <v>9.3800000000000008</v>
      </c>
      <c r="F238" s="4">
        <v>8.75</v>
      </c>
      <c r="G238" s="4">
        <v>8.6999999999999993</v>
      </c>
      <c r="H238" s="4">
        <v>8.92</v>
      </c>
      <c r="I238" s="4">
        <v>9.15</v>
      </c>
      <c r="J238" s="4">
        <v>9.89</v>
      </c>
      <c r="K238" s="4">
        <v>9.9600000000000009</v>
      </c>
      <c r="L238" s="4">
        <v>10.210000000000001</v>
      </c>
      <c r="M238" s="4">
        <v>10.29</v>
      </c>
      <c r="N238" s="4">
        <v>10.25</v>
      </c>
      <c r="O238" s="4">
        <v>10.37</v>
      </c>
      <c r="P238" s="4">
        <v>11.3</v>
      </c>
      <c r="Q238" s="4">
        <v>8.26</v>
      </c>
      <c r="R238" s="4">
        <v>7.96</v>
      </c>
      <c r="S238" s="4">
        <v>7.9</v>
      </c>
      <c r="T238" s="4">
        <v>7.95</v>
      </c>
      <c r="U238" s="4">
        <v>7.84</v>
      </c>
      <c r="V238" s="4">
        <v>7.7</v>
      </c>
      <c r="W238" s="4">
        <v>7.77</v>
      </c>
      <c r="X238" s="4">
        <v>7.7</v>
      </c>
      <c r="Y238" s="4">
        <v>8.02</v>
      </c>
      <c r="Z238" s="4">
        <v>8.3699999999999992</v>
      </c>
      <c r="AA238" s="4">
        <v>8.43</v>
      </c>
      <c r="AB238" s="4">
        <v>8.59</v>
      </c>
      <c r="AC238" s="4">
        <v>8.48</v>
      </c>
      <c r="AD238" s="4">
        <v>8.41</v>
      </c>
      <c r="AE238" s="4">
        <v>7.99</v>
      </c>
      <c r="AF238" s="4">
        <v>8.2100000000000009</v>
      </c>
      <c r="AG238" s="4">
        <v>5.45</v>
      </c>
      <c r="AH238" s="4">
        <v>4.8600000000000003</v>
      </c>
      <c r="AI238" s="4">
        <v>4.96</v>
      </c>
      <c r="AJ238" s="4">
        <v>5.55</v>
      </c>
      <c r="AK238" s="4">
        <v>5.04</v>
      </c>
      <c r="AL238" s="4">
        <v>4.99</v>
      </c>
      <c r="AM238" s="4">
        <v>4.92</v>
      </c>
      <c r="AN238" s="4">
        <v>4.92</v>
      </c>
      <c r="AO238" s="4">
        <v>5.07</v>
      </c>
      <c r="AP238" s="4">
        <v>5.17</v>
      </c>
      <c r="AQ238" s="4">
        <v>4.84</v>
      </c>
      <c r="AR238" s="4">
        <v>4.5</v>
      </c>
      <c r="AS238" s="4">
        <v>4.76</v>
      </c>
      <c r="AT238" s="4">
        <v>4.8499999999999996</v>
      </c>
      <c r="AU238" s="4">
        <v>5.01</v>
      </c>
      <c r="AV238" s="4">
        <v>4.7699999999999996</v>
      </c>
      <c r="AW238" s="4">
        <v>4.9000000000000004</v>
      </c>
      <c r="AX238" s="4">
        <v>5.04</v>
      </c>
      <c r="AY238" s="12">
        <v>5.31</v>
      </c>
      <c r="AZ238" s="12">
        <v>5.64</v>
      </c>
      <c r="BA238" s="12">
        <v>5.0599999999999996</v>
      </c>
      <c r="BB238" s="15">
        <v>5.3</v>
      </c>
      <c r="BC238" s="52">
        <v>5.87</v>
      </c>
      <c r="BD238" s="52">
        <v>6.07</v>
      </c>
      <c r="BE238" s="52">
        <v>6.06</v>
      </c>
      <c r="BF238" s="52">
        <v>5.42</v>
      </c>
      <c r="BG238" s="67">
        <v>5.67</v>
      </c>
      <c r="BH238" s="52">
        <v>6.07</v>
      </c>
      <c r="BI238" s="52">
        <v>6.4</v>
      </c>
      <c r="BJ238" s="52">
        <v>6.06</v>
      </c>
      <c r="BK238" s="52">
        <v>6.04</v>
      </c>
      <c r="BL238" s="52">
        <v>6.48</v>
      </c>
      <c r="BM238" s="52">
        <v>6.58</v>
      </c>
      <c r="BN238" s="52">
        <v>6.73</v>
      </c>
      <c r="BO238" s="52" cm="1">
        <f t="array" aca="1" ref="BO238" ca="1">_FV(EC238,"Preço")</f>
        <v>6.73</v>
      </c>
      <c r="BP238" s="69" t="s">
        <v>234</v>
      </c>
      <c r="BQ238" s="36" cm="1">
        <f t="array" aca="1" ref="BQ238" ca="1">_FV(EC238,"Média de volume",TRUE)</f>
        <v>623930</v>
      </c>
      <c r="BR238" s="36">
        <v>772600</v>
      </c>
      <c r="BS238" s="36" cm="1">
        <f t="array" aca="1" ref="BS238" ca="1">_FV(EC238,"Volume")</f>
        <v>772600</v>
      </c>
      <c r="BT238" s="24" cm="1">
        <f t="array" aca="1" ref="BT238" ca="1">_FV(EC238,"Beta")</f>
        <v>0.79279999999999995</v>
      </c>
      <c r="BU238" s="71" cm="1">
        <f t="array" aca="1" ref="BU238" ca="1">_FV(EC238,"Variação (%)",TRUE)</f>
        <v>-1.0294000000000001E-2</v>
      </c>
      <c r="BW238" s="17" cm="1">
        <f t="array" aca="1" ref="BW238" ca="1">_FV(EC238,"Baixo")</f>
        <v>6.67</v>
      </c>
      <c r="BX238" s="17" cm="1">
        <f t="array" aca="1" ref="BX238" ca="1">_FV(EC238,"Alto")</f>
        <v>6.85</v>
      </c>
      <c r="BY238" s="24"/>
      <c r="BZ238" s="63">
        <f ca="1">SQRT(22.5*(BO238/VLOOKUP(BP238,Fundamentus!A:U,3,FALSE))*(BO238/VLOOKUP(BP238,Fundamentus!A:U,4,FALSE)))</f>
        <v>24.807109123061444</v>
      </c>
      <c r="CB238" s="62">
        <f t="shared" ca="1" si="241"/>
        <v>0</v>
      </c>
      <c r="CC238" s="8"/>
      <c r="CD238" s="61">
        <f t="shared" si="242"/>
        <v>4.5</v>
      </c>
      <c r="CE238" s="61">
        <f t="shared" si="243"/>
        <v>11.3</v>
      </c>
      <c r="CF238" s="61">
        <f t="shared" si="244"/>
        <v>7.0936363636363655</v>
      </c>
      <c r="CG238" s="14"/>
      <c r="CH238" s="35">
        <f t="shared" si="227"/>
        <v>6.441086768809325</v>
      </c>
      <c r="CI238" s="15">
        <f t="shared" si="245"/>
        <v>7</v>
      </c>
      <c r="CJ238" s="35">
        <f t="shared" si="228"/>
        <v>7.558913231190675</v>
      </c>
      <c r="CL238" s="14"/>
      <c r="CM238" s="17">
        <f t="shared" si="229"/>
        <v>-3.08</v>
      </c>
      <c r="CN238" s="17">
        <f t="shared" si="230"/>
        <v>0.71</v>
      </c>
      <c r="CO238" s="17">
        <f t="shared" si="231"/>
        <v>3.7200000000000006</v>
      </c>
      <c r="CP238" s="38">
        <f t="shared" si="246"/>
        <v>7.5100000000000007</v>
      </c>
      <c r="CQ238" s="17">
        <f t="shared" si="232"/>
        <v>10.520000000000001</v>
      </c>
      <c r="CR238" s="17">
        <f t="shared" si="233"/>
        <v>14.310000000000002</v>
      </c>
      <c r="CS238" s="17">
        <f t="shared" si="234"/>
        <v>17.32</v>
      </c>
      <c r="CT238" s="2" cm="1">
        <f t="array" aca="1" ref="CT238" ca="1">MAX(_xlfn._xlws.FILTER(CM238:CS238,CM238:CS238&lt;BO238))</f>
        <v>3.7200000000000006</v>
      </c>
      <c r="CU238" s="2" cm="1">
        <f t="array" aca="1" ref="CU238" ca="1">MIN(_xlfn._xlws.FILTER($CM238:$CS238,$CM238:$CS238&gt;BO238))</f>
        <v>7.5100000000000007</v>
      </c>
      <c r="CV238" s="16">
        <f t="shared" ca="1" si="248"/>
        <v>1.018817204301075</v>
      </c>
      <c r="CW238" s="20">
        <f t="shared" ca="1" si="249"/>
        <v>-0.50940860215053752</v>
      </c>
      <c r="CX238" s="20">
        <f t="shared" ca="1" si="250"/>
        <v>-0.33960573476702499</v>
      </c>
      <c r="CY238" s="20">
        <f t="shared" ca="1" si="251"/>
        <v>-0.203763440860215</v>
      </c>
      <c r="CZ238" s="20">
        <f t="shared" ca="1" si="252"/>
        <v>-0.11320191158900833</v>
      </c>
      <c r="DA238" s="20">
        <f t="shared" ca="1" si="253"/>
        <v>-5.9930423782416177E-2</v>
      </c>
      <c r="DB238" s="20">
        <f t="shared" ca="1" si="254"/>
        <v>-3.087324861518409E-2</v>
      </c>
      <c r="DC238" s="20">
        <f t="shared" ca="1" si="255"/>
        <v>-1.5674110835401156E-2</v>
      </c>
      <c r="DD238" s="21">
        <f t="shared" ca="1" si="256"/>
        <v>1.5674110835401156E-2</v>
      </c>
      <c r="DE238" s="21">
        <f t="shared" ca="1" si="257"/>
        <v>3.087324861518409E-2</v>
      </c>
      <c r="DF238" s="21">
        <f t="shared" ca="1" si="258"/>
        <v>5.9930423782416177E-2</v>
      </c>
      <c r="DG238" s="21">
        <f t="shared" ca="1" si="259"/>
        <v>0.11320191158900833</v>
      </c>
      <c r="DH238" s="21">
        <f t="shared" ca="1" si="260"/>
        <v>0.203763440860215</v>
      </c>
      <c r="DI238" s="21">
        <f t="shared" ca="1" si="261"/>
        <v>0.33960573476702499</v>
      </c>
      <c r="DJ238" s="21">
        <f t="shared" ca="1" si="262"/>
        <v>0.50940860215053752</v>
      </c>
      <c r="DL238" s="16" cm="1">
        <f t="array" aca="1" ref="DL238" ca="1">MAX(_xlfn._xlws.FILTER(CW238:DJ238,CW238:DJ238&lt;BU238))</f>
        <v>-1.5674110835401156E-2</v>
      </c>
      <c r="DM238" s="16" cm="1">
        <f t="array" aca="1" ref="DM238" ca="1">MIN(_xlfn._xlws.FILTER(CW238:DJ238,CW238:DJ238&gt;BU238))</f>
        <v>1.5674110835401156E-2</v>
      </c>
      <c r="DN238" s="2" cm="1">
        <f t="array" aca="1" ref="DN238" ca="1">_FV(EC238,"Fechamento anterior",TRUE)</f>
        <v>6.8</v>
      </c>
      <c r="DO238" s="28">
        <f t="shared" ca="1" si="235"/>
        <v>0.17162036318485444</v>
      </c>
      <c r="DP238" s="15">
        <f t="shared" ca="1" si="263"/>
        <v>6.693416046319272</v>
      </c>
      <c r="DQ238" s="15">
        <f t="shared" ca="1" si="264"/>
        <v>6.9065839536807276</v>
      </c>
      <c r="DR238" s="9"/>
      <c r="DS238" s="9"/>
      <c r="DT238" s="9"/>
      <c r="DU238" s="89">
        <v>1.626191194671495E-2</v>
      </c>
      <c r="DV238" s="89">
        <f t="shared" ca="1" si="236"/>
        <v>3.1348221670802312E-2</v>
      </c>
      <c r="DW238" s="72">
        <f t="shared" ca="1" si="237"/>
        <v>-0.48308035117509718</v>
      </c>
      <c r="DX238" s="37"/>
      <c r="DY238" s="35">
        <f t="shared" si="247"/>
        <v>0.27945661559533735</v>
      </c>
      <c r="DZ238" s="56"/>
      <c r="EA238" s="56"/>
      <c r="EC238" s="2" t="e" vm="240">
        <v>#VALUE!</v>
      </c>
      <c r="EE238" s="10" cm="1">
        <f t="array" aca="1" ref="EE238" ca="1">_FV(EC238,"Ações em circulação",TRUE)</f>
        <v>152644400</v>
      </c>
      <c r="EF238" s="18">
        <f>VLOOKUP(BP238,Fundamentus!A:U,5,FALSE)</f>
        <v>0.75800000000000001</v>
      </c>
      <c r="EG238" s="2">
        <f t="shared" ca="1" si="238"/>
        <v>1355272839.050132</v>
      </c>
      <c r="EH238" s="17">
        <v>684141729.15250671</v>
      </c>
      <c r="EI238" s="17">
        <f t="shared" ca="1" si="239"/>
        <v>684141729.15250671</v>
      </c>
      <c r="EK238" s="16">
        <f t="shared" ca="1" si="226"/>
        <v>0</v>
      </c>
      <c r="EL238" s="32" t="str">
        <f>IF(VLOOKUP(BP238,Fundamentus!A:U,3,FALSE)&lt;15,"Bom",IF(VLOOKUP(BP238,Fundamentus!A:U,3,FALSE)&gt;15,"Ruim","n/a"))</f>
        <v>Bom</v>
      </c>
      <c r="EM238" s="28" t="str">
        <f>IF(VLOOKUP(BP238,Fundamentus!A:U,4,FALSE)&lt;1,"Baixo",IF(VLOOKUP(BP238,Fundamentus!A:U,4,FALSE)&lt;1.5,"Moderado",IF(VLOOKUP(BP238,Fundamentus!A:U,4,FALSE)&gt;1.5,"Alto","n/a")))</f>
        <v>Baixo</v>
      </c>
      <c r="EN238" s="17" t="str">
        <f>IF(VLOOKUP(BP238,Fundamentus!A:U,8,FALSE)&lt;0,"Risco elevado",IF(VLOOKUP(BP238,Fundamentus!A:U,8,FALSE)&lt;1,"Saudável",IF(VLOOKUP(BP238,Fundamentus!A:U,8,FALSE)&lt;3,"Estável",IF(VLOOKUP(BP238,Fundamentus!A:U,8,FALSE)&gt;3,"Alerta","n/a"))))</f>
        <v>Estável</v>
      </c>
      <c r="EO238" s="28" t="str">
        <f t="shared" si="240"/>
        <v>Ruim</v>
      </c>
      <c r="EP238" s="17" t="str">
        <f>IF(VLOOKUP(BP238,Fundamentus!A:U,12,FALSE)&lt;2,"Subvalorizada",IF(VLOOKUP(BP238,Fundamentus!A:U,12,FALSE)&lt;6,"Muita barata",IF(VLOOKUP(BP238,Fundamentus!A:U,12,FALSE)&lt;6,"Barata",IF(VLOOKUP(BP238,Fundamentus!A:U,12,FALSE)&lt;8,"Atrativa",IF(VLOOKUP(BP238,Fundamentus!A:U,12,FALSE)&gt;8,"Supervalorizada","n/a")))))</f>
        <v>Muita barata</v>
      </c>
      <c r="ER238" s="17" t="str">
        <f>IF(VLOOKUP(BP238,Fundamentus!A:U,17,FALSE)&lt;0.1,"Fraco retorno",IF(VLOOKUP(BP238,Fundamentus!A:U,17,FALSE)&gt;0.1,"Bom retorno","n/a"))</f>
        <v>Bom retorno</v>
      </c>
      <c r="ES238" s="17" t="str">
        <f>IF(VLOOKUP(BP238,Fundamentus!A:U,16,FALSE)&lt;0.1,"Ineficiente",IF(VLOOKUP(BP238,Fundamentus!A:U,16,FALSE)&gt;0.1,"Eficiente","n/a"))</f>
        <v>Eficiente</v>
      </c>
      <c r="ET238" s="33" t="str">
        <f>IF(VLOOKUP(BP238,Fundamentus!A:U,16,FALSE)&lt;0.1,"Oper. Ineficiente",IF(VLOOKUP(BP238,Fundamentus!A:U,16,FALSE)&gt;0.1,"Oper.Eficiente","n/a"))</f>
        <v>Oper.Eficiente</v>
      </c>
      <c r="EU238" s="34">
        <f>VLOOKUP(BP238,Fundamentus!A:U,14,FALSE)</f>
        <v>0.50480000000000003</v>
      </c>
      <c r="EV238" s="17" t="str">
        <f>IF(VLOOKUP(BP238,Fundamentus!A:U,21,FALSE)&lt;0,"Negativo",IF(VLOOKUP(BP238,Fundamentus!A:U,21,FALSE)&lt;0.05,"Fraco",IF(VLOOKUP(BP238,Fundamentus!A:U,21,FALSE)&lt;0.1,"Bom",IF(VLOOKUP(BP238,Fundamentus!A:U,21,FALSE)&gt;0.1,"Muito bom","n/a"))))</f>
        <v>Fraco</v>
      </c>
      <c r="EX238" s="29" t="str">
        <f>IF(VLOOKUP(BP238,Fundamentus!A:U,15,FALSE)&gt;1,"Bom",IF(VLOOKUP(BP238,Fundamentus!A:U,15,FALSE)&lt;1,"Ruim","n/a"))</f>
        <v>Bom</v>
      </c>
      <c r="EY238" s="17" t="str">
        <f>IF(VLOOKUP(BP238,Fundamentus!A:U,20,FALSE)&lt;0.5,"Baixa",IF(VLOOKUP(BP238,Fundamentus!A:U,20,FALSE)&lt;1,"Moderada",IF(VLOOKUP(BP238,Fundamentus!A:U,20,FALSE)&lt;2,"Alerta",IF(VLOOKUP(BP238,Fundamentus!A:U,20,FALSE)&gt;2,"Alta","n/a"))))</f>
        <v>Moderada</v>
      </c>
    </row>
    <row r="239" spans="1:155" s="2" customFormat="1" ht="11.25" x14ac:dyDescent="0.2">
      <c r="A239" s="4">
        <v>7.19</v>
      </c>
      <c r="B239" s="4">
        <v>7.34</v>
      </c>
      <c r="C239" s="4">
        <v>7.28</v>
      </c>
      <c r="D239" s="4">
        <v>6.86</v>
      </c>
      <c r="E239" s="4">
        <v>6.93</v>
      </c>
      <c r="F239" s="4">
        <v>6.87</v>
      </c>
      <c r="G239" s="4">
        <v>6.85</v>
      </c>
      <c r="H239" s="4">
        <v>6.63</v>
      </c>
      <c r="I239" s="4">
        <v>6.66</v>
      </c>
      <c r="J239" s="4">
        <v>6.98</v>
      </c>
      <c r="K239" s="4">
        <v>6.96</v>
      </c>
      <c r="L239" s="4">
        <v>6.74</v>
      </c>
      <c r="M239" s="4">
        <v>6.73</v>
      </c>
      <c r="N239" s="4">
        <v>6.72</v>
      </c>
      <c r="O239" s="4">
        <v>7.18</v>
      </c>
      <c r="P239" s="4">
        <v>7.27</v>
      </c>
      <c r="Q239" s="4">
        <v>7.55</v>
      </c>
      <c r="R239" s="4">
        <v>7.47</v>
      </c>
      <c r="S239" s="4">
        <v>7.53</v>
      </c>
      <c r="T239" s="4">
        <v>8.0299999999999994</v>
      </c>
      <c r="U239" s="4">
        <v>7.4</v>
      </c>
      <c r="V239" s="4">
        <v>7.34</v>
      </c>
      <c r="W239" s="4">
        <v>7.68</v>
      </c>
      <c r="X239" s="4">
        <v>7.36</v>
      </c>
      <c r="Y239" s="4">
        <v>6.99</v>
      </c>
      <c r="Z239" s="4">
        <v>6.98</v>
      </c>
      <c r="AA239" s="4">
        <v>6.75</v>
      </c>
      <c r="AB239" s="4">
        <v>6.93</v>
      </c>
      <c r="AC239" s="4">
        <v>6.44</v>
      </c>
      <c r="AD239" s="4">
        <v>6.38</v>
      </c>
      <c r="AE239" s="4">
        <v>5.26</v>
      </c>
      <c r="AF239" s="4">
        <v>5.0199999999999996</v>
      </c>
      <c r="AG239" s="4">
        <v>5.03</v>
      </c>
      <c r="AH239" s="4">
        <v>5.26</v>
      </c>
      <c r="AI239" s="4">
        <v>5.35</v>
      </c>
      <c r="AJ239" s="4">
        <v>5.12</v>
      </c>
      <c r="AK239" s="4">
        <v>5.09</v>
      </c>
      <c r="AL239" s="4">
        <v>5.27</v>
      </c>
      <c r="AM239" s="4">
        <v>5.18</v>
      </c>
      <c r="AN239" s="4">
        <v>5.64</v>
      </c>
      <c r="AO239" s="4">
        <v>5.45</v>
      </c>
      <c r="AP239" s="4">
        <v>5.8</v>
      </c>
      <c r="AQ239" s="4">
        <v>5.74</v>
      </c>
      <c r="AR239" s="4">
        <v>4.51</v>
      </c>
      <c r="AS239" s="4">
        <v>4.7699999999999996</v>
      </c>
      <c r="AT239" s="4">
        <v>5.0199999999999996</v>
      </c>
      <c r="AU239" s="4">
        <v>5.1349999999999998</v>
      </c>
      <c r="AV239" s="4">
        <v>5.2</v>
      </c>
      <c r="AW239" s="4">
        <v>4.99</v>
      </c>
      <c r="AX239" s="4">
        <v>4.93</v>
      </c>
      <c r="AY239" s="12">
        <v>5.57</v>
      </c>
      <c r="AZ239" s="12">
        <v>6.11</v>
      </c>
      <c r="BA239" s="12">
        <v>5.92</v>
      </c>
      <c r="BB239" s="15">
        <v>6.15</v>
      </c>
      <c r="BC239" s="52">
        <v>5.49</v>
      </c>
      <c r="BD239" s="52">
        <v>5.07</v>
      </c>
      <c r="BE239" s="52">
        <v>5.29</v>
      </c>
      <c r="BF239" s="52">
        <v>5.92</v>
      </c>
      <c r="BG239" s="67">
        <v>5.76</v>
      </c>
      <c r="BH239" s="52">
        <v>5.86</v>
      </c>
      <c r="BI239" s="52">
        <v>5.92</v>
      </c>
      <c r="BJ239" s="52">
        <v>6.29</v>
      </c>
      <c r="BK239" s="52">
        <v>6.12</v>
      </c>
      <c r="BL239" s="52">
        <v>5.95</v>
      </c>
      <c r="BM239" s="52">
        <v>6.1</v>
      </c>
      <c r="BN239" s="52">
        <v>5.99</v>
      </c>
      <c r="BO239" s="52" cm="1">
        <f t="array" aca="1" ref="BO239" ca="1">_FV(EC239,"Preço")</f>
        <v>5.99</v>
      </c>
      <c r="BP239" s="69" t="s">
        <v>235</v>
      </c>
      <c r="BQ239" s="36" cm="1">
        <f t="array" aca="1" ref="BQ239" ca="1">_FV(EC239,"Média de volume",TRUE)</f>
        <v>8686530</v>
      </c>
      <c r="BR239" s="36">
        <v>9599700</v>
      </c>
      <c r="BS239" s="36" cm="1">
        <f t="array" aca="1" ref="BS239" ca="1">_FV(EC239,"Volume")</f>
        <v>9599700</v>
      </c>
      <c r="BT239" s="24" cm="1">
        <f t="array" aca="1" ref="BT239" ca="1">_FV(EC239,"Beta")</f>
        <v>1.6567000000000001</v>
      </c>
      <c r="BU239" s="71" cm="1">
        <f t="array" aca="1" ref="BU239" ca="1">_FV(EC239,"Variação (%)",TRUE)</f>
        <v>6.7229999999999998E-3</v>
      </c>
      <c r="BW239" s="17" cm="1">
        <f t="array" aca="1" ref="BW239" ca="1">_FV(EC239,"Baixo")</f>
        <v>5.97</v>
      </c>
      <c r="BX239" s="17" cm="1">
        <f t="array" aca="1" ref="BX239" ca="1">_FV(EC239,"Alto")</f>
        <v>6.17</v>
      </c>
      <c r="BY239" s="24"/>
      <c r="BZ239" s="60" t="e">
        <f ca="1">SQRT(22.5*(BO239/VLOOKUP(BP239,Fundamentus!A:U,3,FALSE))*(BO239/VLOOKUP(BP239,Fundamentus!A:U,4,FALSE)))</f>
        <v>#NUM!</v>
      </c>
      <c r="CB239" s="62">
        <f t="shared" ca="1" si="241"/>
        <v>0</v>
      </c>
      <c r="CC239" s="8"/>
      <c r="CD239" s="61">
        <f t="shared" si="242"/>
        <v>4.51</v>
      </c>
      <c r="CE239" s="61">
        <f t="shared" si="243"/>
        <v>8.0299999999999994</v>
      </c>
      <c r="CF239" s="61">
        <f t="shared" si="244"/>
        <v>6.2014393939393955</v>
      </c>
      <c r="CG239" s="14"/>
      <c r="CH239" s="35">
        <f t="shared" si="227"/>
        <v>5.7423447875597828</v>
      </c>
      <c r="CI239" s="15">
        <f t="shared" si="245"/>
        <v>5.9799999999999898</v>
      </c>
      <c r="CJ239" s="35">
        <f t="shared" si="228"/>
        <v>6.2176552124401967</v>
      </c>
      <c r="CL239" s="14"/>
      <c r="CM239" s="17">
        <f t="shared" si="229"/>
        <v>0.80333333333333456</v>
      </c>
      <c r="CN239" s="17">
        <f t="shared" si="230"/>
        <v>2.6566666666666672</v>
      </c>
      <c r="CO239" s="17">
        <f t="shared" si="231"/>
        <v>4.3233333333333341</v>
      </c>
      <c r="CP239" s="38">
        <f t="shared" si="246"/>
        <v>6.1766666666666667</v>
      </c>
      <c r="CQ239" s="17">
        <f t="shared" si="232"/>
        <v>7.8433333333333337</v>
      </c>
      <c r="CR239" s="17">
        <f t="shared" si="233"/>
        <v>9.6966666666666654</v>
      </c>
      <c r="CS239" s="17">
        <f t="shared" si="234"/>
        <v>11.363333333333333</v>
      </c>
      <c r="CT239" s="2" cm="1">
        <f t="array" aca="1" ref="CT239" ca="1">MAX(_xlfn._xlws.FILTER(CM239:CS239,CM239:CS239&lt;BO239))</f>
        <v>4.3233333333333341</v>
      </c>
      <c r="CU239" s="2" cm="1">
        <f t="array" aca="1" ref="CU239" ca="1">MIN(_xlfn._xlws.FILTER($CM239:$CS239,$CM239:$CS239&gt;BO239))</f>
        <v>6.1766666666666667</v>
      </c>
      <c r="CV239" s="16">
        <f t="shared" ca="1" si="248"/>
        <v>0.42868157286044695</v>
      </c>
      <c r="CW239" s="20">
        <f t="shared" ca="1" si="249"/>
        <v>-0.21434078643022347</v>
      </c>
      <c r="CX239" s="20">
        <f t="shared" ca="1" si="250"/>
        <v>-0.14289385762014897</v>
      </c>
      <c r="CY239" s="20">
        <f t="shared" ca="1" si="251"/>
        <v>-8.5736314572089384E-2</v>
      </c>
      <c r="CZ239" s="20">
        <f t="shared" ca="1" si="252"/>
        <v>-4.7631285873382993E-2</v>
      </c>
      <c r="DA239" s="20">
        <f t="shared" ca="1" si="253"/>
        <v>-2.5216563109438057E-2</v>
      </c>
      <c r="DB239" s="20">
        <f t="shared" ca="1" si="254"/>
        <v>-1.2990350692740817E-2</v>
      </c>
      <c r="DC239" s="20">
        <f t="shared" ca="1" si="255"/>
        <v>-6.5951011209299526E-3</v>
      </c>
      <c r="DD239" s="21">
        <f t="shared" ca="1" si="256"/>
        <v>6.5951011209299526E-3</v>
      </c>
      <c r="DE239" s="21">
        <f t="shared" ca="1" si="257"/>
        <v>1.2990350692740817E-2</v>
      </c>
      <c r="DF239" s="21">
        <f t="shared" ca="1" si="258"/>
        <v>2.5216563109438057E-2</v>
      </c>
      <c r="DG239" s="21">
        <f t="shared" ca="1" si="259"/>
        <v>4.7631285873382993E-2</v>
      </c>
      <c r="DH239" s="21">
        <f t="shared" ca="1" si="260"/>
        <v>8.5736314572089384E-2</v>
      </c>
      <c r="DI239" s="21">
        <f t="shared" ca="1" si="261"/>
        <v>0.14289385762014897</v>
      </c>
      <c r="DJ239" s="21">
        <f t="shared" ca="1" si="262"/>
        <v>0.21434078643022347</v>
      </c>
      <c r="DL239" s="16" cm="1">
        <f t="array" aca="1" ref="DL239" ca="1">MAX(_xlfn._xlws.FILTER(CW239:DJ239,CW239:DJ239&lt;BU239))</f>
        <v>6.5951011209299526E-3</v>
      </c>
      <c r="DM239" s="16" cm="1">
        <f t="array" aca="1" ref="DM239" ca="1">MIN(_xlfn._xlws.FILTER(CW239:DJ239,CW239:DJ239&gt;BU239))</f>
        <v>1.2990350692740817E-2</v>
      </c>
      <c r="DN239" s="2" cm="1">
        <f t="array" aca="1" ref="DN239" ca="1">_FV(EC239,"Fechamento anterior",TRUE)</f>
        <v>5.95</v>
      </c>
      <c r="DO239" s="28">
        <f t="shared" ca="1" si="235"/>
        <v>1.9950426213645074E-2</v>
      </c>
      <c r="DP239" s="15">
        <f t="shared" ca="1" si="263"/>
        <v>5.9892408516695337</v>
      </c>
      <c r="DQ239" s="15">
        <f t="shared" ca="1" si="264"/>
        <v>6.0272925866218081</v>
      </c>
      <c r="DR239" s="9"/>
      <c r="DS239" s="9"/>
      <c r="DT239" s="9"/>
      <c r="DU239" s="89">
        <v>1.3367547890433849E-2</v>
      </c>
      <c r="DV239" s="89">
        <f t="shared" ca="1" si="236"/>
        <v>6.3952495718108647E-3</v>
      </c>
      <c r="DW239" s="72">
        <f t="shared" ca="1" si="237"/>
        <v>4.2077764242290303E-2</v>
      </c>
      <c r="DX239" s="37"/>
      <c r="DY239" s="35">
        <f t="shared" si="247"/>
        <v>0.11882760622010351</v>
      </c>
      <c r="DZ239" s="56"/>
      <c r="EA239" s="56"/>
      <c r="EC239" s="2" t="e" vm="241">
        <v>#VALUE!</v>
      </c>
      <c r="EE239" s="10" cm="1">
        <f t="array" aca="1" ref="EE239" ca="1">_FV(EC239,"Ações em circulação",TRUE)</f>
        <v>562826700</v>
      </c>
      <c r="EF239" s="18">
        <f>VLOOKUP(BP239,Fundamentus!A:U,5,FALSE)</f>
        <v>0.372</v>
      </c>
      <c r="EG239" s="2">
        <f t="shared" ca="1" si="238"/>
        <v>9062720250</v>
      </c>
      <c r="EH239" s="17">
        <v>-653422130.02499998</v>
      </c>
      <c r="EI239" s="17">
        <f t="shared" ca="1" si="239"/>
        <v>-653422130.02499998</v>
      </c>
      <c r="EK239" s="16">
        <f t="shared" ca="1" si="226"/>
        <v>0</v>
      </c>
      <c r="EL239" s="32" t="str">
        <f>IF(VLOOKUP(BP239,Fundamentus!A:U,3,FALSE)&lt;15,"Bom",IF(VLOOKUP(BP239,Fundamentus!A:U,3,FALSE)&gt;15,"Ruim","n/a"))</f>
        <v>Bom</v>
      </c>
      <c r="EM239" s="28" t="str">
        <f>IF(VLOOKUP(BP239,Fundamentus!A:U,4,FALSE)&lt;1,"Baixo",IF(VLOOKUP(BP239,Fundamentus!A:U,4,FALSE)&lt;1.5,"Moderado",IF(VLOOKUP(BP239,Fundamentus!A:U,4,FALSE)&gt;1.5,"Alto","n/a")))</f>
        <v>Baixo</v>
      </c>
      <c r="EN239" s="17" t="str">
        <f>IF(VLOOKUP(BP239,Fundamentus!A:U,8,FALSE)&lt;0,"Risco elevado",IF(VLOOKUP(BP239,Fundamentus!A:U,8,FALSE)&lt;1,"Saudável",IF(VLOOKUP(BP239,Fundamentus!A:U,8,FALSE)&lt;3,"Estável",IF(VLOOKUP(BP239,Fundamentus!A:U,8,FALSE)&gt;3,"Alerta","n/a"))))</f>
        <v>Saudável</v>
      </c>
      <c r="EO239" s="28" t="str">
        <f t="shared" si="240"/>
        <v>Ruim</v>
      </c>
      <c r="EP239" s="17" t="str">
        <f>IF(VLOOKUP(BP239,Fundamentus!A:U,12,FALSE)&lt;2,"Subvalorizada",IF(VLOOKUP(BP239,Fundamentus!A:U,12,FALSE)&lt;6,"Muita barata",IF(VLOOKUP(BP239,Fundamentus!A:U,12,FALSE)&lt;6,"Barata",IF(VLOOKUP(BP239,Fundamentus!A:U,12,FALSE)&lt;8,"Atrativa",IF(VLOOKUP(BP239,Fundamentus!A:U,12,FALSE)&gt;8,"Supervalorizada","n/a")))))</f>
        <v>Supervalorizada</v>
      </c>
      <c r="ER239" s="17" t="str">
        <f>IF(VLOOKUP(BP239,Fundamentus!A:U,17,FALSE)&lt;0.1,"Fraco retorno",IF(VLOOKUP(BP239,Fundamentus!A:U,17,FALSE)&gt;0.1,"Bom retorno","n/a"))</f>
        <v>Fraco retorno</v>
      </c>
      <c r="ES239" s="17" t="str">
        <f>IF(VLOOKUP(BP239,Fundamentus!A:U,16,FALSE)&lt;0.1,"Ineficiente",IF(VLOOKUP(BP239,Fundamentus!A:U,16,FALSE)&gt;0.1,"Eficiente","n/a"))</f>
        <v>Ineficiente</v>
      </c>
      <c r="ET239" s="33" t="str">
        <f>IF(VLOOKUP(BP239,Fundamentus!A:U,16,FALSE)&lt;0.1,"Oper. Ineficiente",IF(VLOOKUP(BP239,Fundamentus!A:U,16,FALSE)&gt;0.1,"Oper.Eficiente","n/a"))</f>
        <v>Oper. Ineficiente</v>
      </c>
      <c r="EU239" s="34">
        <f>VLOOKUP(BP239,Fundamentus!A:U,14,FALSE)</f>
        <v>-7.2099999999999997E-2</v>
      </c>
      <c r="EV239" s="17" t="str">
        <f>IF(VLOOKUP(BP239,Fundamentus!A:U,21,FALSE)&lt;0,"Negativo",IF(VLOOKUP(BP239,Fundamentus!A:U,21,FALSE)&lt;0.05,"Fraco",IF(VLOOKUP(BP239,Fundamentus!A:U,21,FALSE)&lt;0.1,"Bom",IF(VLOOKUP(BP239,Fundamentus!A:U,21,FALSE)&gt;0.1,"Muito bom","n/a"))))</f>
        <v>Bom</v>
      </c>
      <c r="EX239" s="29" t="str">
        <f>IF(VLOOKUP(BP239,Fundamentus!A:U,15,FALSE)&gt;1,"Bom",IF(VLOOKUP(BP239,Fundamentus!A:U,15,FALSE)&lt;1,"Ruim","n/a"))</f>
        <v>Bom</v>
      </c>
      <c r="EY239" s="17" t="str">
        <f>IF(VLOOKUP(BP239,Fundamentus!A:U,20,FALSE)&lt;0.5,"Baixa",IF(VLOOKUP(BP239,Fundamentus!A:U,20,FALSE)&lt;1,"Moderada",IF(VLOOKUP(BP239,Fundamentus!A:U,20,FALSE)&lt;2,"Alerta",IF(VLOOKUP(BP239,Fundamentus!A:U,20,FALSE)&gt;2,"Alta","n/a"))))</f>
        <v>Alerta</v>
      </c>
    </row>
    <row r="240" spans="1:155" s="2" customFormat="1" ht="11.25" x14ac:dyDescent="0.2">
      <c r="A240" s="4">
        <v>7.62</v>
      </c>
      <c r="B240" s="4">
        <v>7.24</v>
      </c>
      <c r="C240" s="4">
        <v>7.06</v>
      </c>
      <c r="D240" s="4">
        <v>6.45</v>
      </c>
      <c r="E240" s="4">
        <v>6.48</v>
      </c>
      <c r="F240" s="4">
        <v>6.39</v>
      </c>
      <c r="G240" s="4">
        <v>6.03</v>
      </c>
      <c r="H240" s="4">
        <v>5.94</v>
      </c>
      <c r="I240" s="4">
        <v>6.02</v>
      </c>
      <c r="J240" s="4">
        <v>6.69</v>
      </c>
      <c r="K240" s="4">
        <v>6.85</v>
      </c>
      <c r="L240" s="4">
        <v>6.08</v>
      </c>
      <c r="M240" s="4">
        <v>6.35</v>
      </c>
      <c r="N240" s="4">
        <v>6.62</v>
      </c>
      <c r="O240" s="4">
        <v>7.5</v>
      </c>
      <c r="P240" s="4">
        <v>7.31</v>
      </c>
      <c r="Q240" s="4">
        <v>7.58</v>
      </c>
      <c r="R240" s="4">
        <v>7.14</v>
      </c>
      <c r="S240" s="4">
        <v>6.94</v>
      </c>
      <c r="T240" s="4">
        <v>7.21</v>
      </c>
      <c r="U240" s="4">
        <v>6.53</v>
      </c>
      <c r="V240" s="4">
        <v>6.24</v>
      </c>
      <c r="W240" s="4">
        <v>5.89</v>
      </c>
      <c r="X240" s="4">
        <v>5.52</v>
      </c>
      <c r="Y240" s="4">
        <v>5.76</v>
      </c>
      <c r="Z240" s="4">
        <v>5.9</v>
      </c>
      <c r="AA240" s="4">
        <v>5.67</v>
      </c>
      <c r="AB240" s="4">
        <v>6.35</v>
      </c>
      <c r="AC240" s="4">
        <v>6.13</v>
      </c>
      <c r="AD240" s="4">
        <v>6.98</v>
      </c>
      <c r="AE240" s="4">
        <v>5.24</v>
      </c>
      <c r="AF240" s="4">
        <v>5.03</v>
      </c>
      <c r="AG240" s="4">
        <v>4.21</v>
      </c>
      <c r="AH240" s="4">
        <v>3.79</v>
      </c>
      <c r="AI240" s="4">
        <v>3.64</v>
      </c>
      <c r="AJ240" s="4">
        <v>3.61</v>
      </c>
      <c r="AK240" s="4">
        <v>3.4</v>
      </c>
      <c r="AL240" s="4">
        <v>3.64</v>
      </c>
      <c r="AM240" s="4">
        <v>3.72</v>
      </c>
      <c r="AN240" s="4">
        <v>3.95</v>
      </c>
      <c r="AO240" s="4">
        <v>3.34</v>
      </c>
      <c r="AP240" s="4">
        <v>4.1100000000000003</v>
      </c>
      <c r="AQ240" s="4">
        <v>3.89</v>
      </c>
      <c r="AR240" s="4">
        <v>3.56</v>
      </c>
      <c r="AS240" s="4">
        <v>3.66</v>
      </c>
      <c r="AT240" s="4">
        <v>4.12</v>
      </c>
      <c r="AU240" s="4">
        <v>4.7549999999999999</v>
      </c>
      <c r="AV240" s="4">
        <v>5.0999999999999996</v>
      </c>
      <c r="AW240" s="4">
        <v>5.44</v>
      </c>
      <c r="AX240" s="4">
        <v>5.79</v>
      </c>
      <c r="AY240" s="12">
        <v>6.06</v>
      </c>
      <c r="AZ240" s="12">
        <v>7.18</v>
      </c>
      <c r="BA240" s="12">
        <v>7.07</v>
      </c>
      <c r="BB240" s="15">
        <v>7.68</v>
      </c>
      <c r="BC240" s="52">
        <v>6.86</v>
      </c>
      <c r="BD240" s="52">
        <v>6.62</v>
      </c>
      <c r="BE240" s="52">
        <v>6.95</v>
      </c>
      <c r="BF240" s="52">
        <v>6.59</v>
      </c>
      <c r="BG240" s="67">
        <v>7.72</v>
      </c>
      <c r="BH240" s="52">
        <v>8.27</v>
      </c>
      <c r="BI240" s="52">
        <v>7.11</v>
      </c>
      <c r="BJ240" s="52">
        <v>6.84</v>
      </c>
      <c r="BK240" s="52">
        <v>6.25</v>
      </c>
      <c r="BL240" s="52">
        <v>6.35</v>
      </c>
      <c r="BM240" s="52">
        <v>6.37</v>
      </c>
      <c r="BN240" s="52">
        <v>6.12</v>
      </c>
      <c r="BO240" s="52" cm="1">
        <f t="array" aca="1" ref="BO240" ca="1">_FV(EC240,"Preço")</f>
        <v>6.12</v>
      </c>
      <c r="BP240" s="69" t="s">
        <v>236</v>
      </c>
      <c r="BQ240" s="36" cm="1">
        <f t="array" aca="1" ref="BQ240" ca="1">_FV(EC240,"Média de volume",TRUE)</f>
        <v>4840950</v>
      </c>
      <c r="BR240" s="36">
        <v>4824300</v>
      </c>
      <c r="BS240" s="36" cm="1">
        <f t="array" aca="1" ref="BS240" ca="1">_FV(EC240,"Volume")</f>
        <v>4824300</v>
      </c>
      <c r="BT240" s="24" cm="1">
        <f t="array" aca="1" ref="BT240" ca="1">_FV(EC240,"Beta")</f>
        <v>1.5069999999999999</v>
      </c>
      <c r="BU240" s="71" cm="1">
        <f t="array" aca="1" ref="BU240" ca="1">_FV(EC240,"Variação (%)",TRUE)</f>
        <v>-1.2903E-2</v>
      </c>
      <c r="BW240" s="17" cm="1">
        <f t="array" aca="1" ref="BW240" ca="1">_FV(EC240,"Baixo")</f>
        <v>6.12</v>
      </c>
      <c r="BX240" s="17" cm="1">
        <f t="array" aca="1" ref="BX240" ca="1">_FV(EC240,"Alto")</f>
        <v>6.49</v>
      </c>
      <c r="BY240" s="24"/>
      <c r="BZ240" s="63">
        <f ca="1">SQRT(22.5*(BO240/VLOOKUP(BP240,Fundamentus!A:U,3,FALSE))*(BO240/VLOOKUP(BP240,Fundamentus!A:U,4,FALSE)))</f>
        <v>10.974393731967911</v>
      </c>
      <c r="CB240" s="62">
        <f t="shared" ca="1" si="241"/>
        <v>0</v>
      </c>
      <c r="CC240" s="8"/>
      <c r="CD240" s="61">
        <f t="shared" si="242"/>
        <v>3.34</v>
      </c>
      <c r="CE240" s="61">
        <f t="shared" si="243"/>
        <v>8.27</v>
      </c>
      <c r="CF240" s="61">
        <f t="shared" si="244"/>
        <v>5.9167424242424245</v>
      </c>
      <c r="CG240" s="14"/>
      <c r="CH240" s="35">
        <f t="shared" si="227"/>
        <v>5.6926233489384277</v>
      </c>
      <c r="CI240" s="15">
        <f t="shared" si="245"/>
        <v>6.1800000000000068</v>
      </c>
      <c r="CJ240" s="35">
        <f t="shared" si="228"/>
        <v>6.6673766510615859</v>
      </c>
      <c r="CL240" s="14"/>
      <c r="CM240" s="17">
        <f t="shared" si="229"/>
        <v>-1.379999999999999</v>
      </c>
      <c r="CN240" s="17">
        <f t="shared" si="230"/>
        <v>0.98000000000000043</v>
      </c>
      <c r="CO240" s="17">
        <f t="shared" si="231"/>
        <v>3.5500000000000007</v>
      </c>
      <c r="CP240" s="38">
        <f t="shared" si="246"/>
        <v>5.91</v>
      </c>
      <c r="CQ240" s="17">
        <f t="shared" si="232"/>
        <v>8.48</v>
      </c>
      <c r="CR240" s="17">
        <f t="shared" si="233"/>
        <v>10.84</v>
      </c>
      <c r="CS240" s="17">
        <f t="shared" si="234"/>
        <v>13.41</v>
      </c>
      <c r="CT240" s="2" cm="1">
        <f t="array" aca="1" ref="CT240" ca="1">MAX(_xlfn._xlws.FILTER(CM240:CS240,CM240:CS240&lt;BO240))</f>
        <v>5.91</v>
      </c>
      <c r="CU240" s="2" cm="1">
        <f t="array" aca="1" ref="CU240" ca="1">MIN(_xlfn._xlws.FILTER($CM240:$CS240,$CM240:$CS240&gt;BO240))</f>
        <v>8.48</v>
      </c>
      <c r="CV240" s="16">
        <f t="shared" ca="1" si="248"/>
        <v>0.43485617597292725</v>
      </c>
      <c r="CW240" s="20">
        <f t="shared" ca="1" si="249"/>
        <v>-0.21742808798646363</v>
      </c>
      <c r="CX240" s="20">
        <f t="shared" ca="1" si="250"/>
        <v>-0.14495205865764241</v>
      </c>
      <c r="CY240" s="20">
        <f t="shared" ca="1" si="251"/>
        <v>-8.6971235194585453E-2</v>
      </c>
      <c r="CZ240" s="20">
        <f t="shared" ca="1" si="252"/>
        <v>-4.8317352885880807E-2</v>
      </c>
      <c r="DA240" s="20">
        <f t="shared" ca="1" si="253"/>
        <v>-2.5579775057231014E-2</v>
      </c>
      <c r="DB240" s="20">
        <f t="shared" ca="1" si="254"/>
        <v>-1.3177459877967493E-2</v>
      </c>
      <c r="DC240" s="20">
        <f t="shared" ca="1" si="255"/>
        <v>-6.6900950149681119E-3</v>
      </c>
      <c r="DD240" s="21">
        <f t="shared" ca="1" si="256"/>
        <v>6.6900950149681119E-3</v>
      </c>
      <c r="DE240" s="21">
        <f t="shared" ca="1" si="257"/>
        <v>1.3177459877967493E-2</v>
      </c>
      <c r="DF240" s="21">
        <f t="shared" ca="1" si="258"/>
        <v>2.5579775057231014E-2</v>
      </c>
      <c r="DG240" s="21">
        <f t="shared" ca="1" si="259"/>
        <v>4.8317352885880807E-2</v>
      </c>
      <c r="DH240" s="21">
        <f t="shared" ca="1" si="260"/>
        <v>8.6971235194585453E-2</v>
      </c>
      <c r="DI240" s="21">
        <f t="shared" ca="1" si="261"/>
        <v>0.14495205865764241</v>
      </c>
      <c r="DJ240" s="21">
        <f t="shared" ca="1" si="262"/>
        <v>0.21742808798646363</v>
      </c>
      <c r="DL240" s="16" cm="1">
        <f t="array" aca="1" ref="DL240" ca="1">MAX(_xlfn._xlws.FILTER(CW240:DJ240,CW240:DJ240&lt;BU240))</f>
        <v>-1.3177459877967493E-2</v>
      </c>
      <c r="DM240" s="16" cm="1">
        <f t="array" aca="1" ref="DM240" ca="1">MIN(_xlfn._xlws.FILTER(CW240:DJ240,CW240:DJ240&gt;BU240))</f>
        <v>-6.6900950149681119E-3</v>
      </c>
      <c r="DN240" s="2" cm="1">
        <f t="array" aca="1" ref="DN240" ca="1">_FV(EC240,"Fechamento anterior",TRUE)</f>
        <v>6.2</v>
      </c>
      <c r="DO240" s="28">
        <f t="shared" ca="1" si="235"/>
        <v>4.227202836700638E-2</v>
      </c>
      <c r="DP240" s="15">
        <f t="shared" ca="1" si="263"/>
        <v>6.118299748756602</v>
      </c>
      <c r="DQ240" s="15">
        <f t="shared" ca="1" si="264"/>
        <v>6.1585214109071975</v>
      </c>
      <c r="DR240" s="9"/>
      <c r="DS240" s="9"/>
      <c r="DT240" s="9"/>
      <c r="DU240" s="89">
        <v>1.2608728447848062E-2</v>
      </c>
      <c r="DV240" s="89">
        <f t="shared" ca="1" si="236"/>
        <v>6.487364862999381E-3</v>
      </c>
      <c r="DW240" s="72">
        <f t="shared" ca="1" si="237"/>
        <v>-0.12310807230776803</v>
      </c>
      <c r="DX240" s="37"/>
      <c r="DY240" s="35">
        <f t="shared" si="247"/>
        <v>0.24368832553078937</v>
      </c>
      <c r="DZ240" s="56"/>
      <c r="EA240" s="56"/>
      <c r="EC240" s="2" t="e" vm="242">
        <v>#VALUE!</v>
      </c>
      <c r="EE240" s="10" cm="1">
        <f t="array" aca="1" ref="EE240" ca="1">_FV(EC240,"Ações em circulação",TRUE)</f>
        <v>347931500</v>
      </c>
      <c r="EF240" s="18">
        <f>VLOOKUP(BP240,Fundamentus!A:U,5,FALSE)</f>
        <v>0.155</v>
      </c>
      <c r="EG240" s="2">
        <f t="shared" ca="1" si="238"/>
        <v>13737682451.612904</v>
      </c>
      <c r="EH240" s="17">
        <v>255520893.59999999</v>
      </c>
      <c r="EI240" s="17">
        <f t="shared" ca="1" si="239"/>
        <v>255520893.59999999</v>
      </c>
      <c r="EK240" s="16">
        <f t="shared" ca="1" si="226"/>
        <v>0</v>
      </c>
      <c r="EL240" s="32" t="str">
        <f>IF(VLOOKUP(BP240,Fundamentus!A:U,3,FALSE)&lt;15,"Bom",IF(VLOOKUP(BP240,Fundamentus!A:U,3,FALSE)&gt;15,"Ruim","n/a"))</f>
        <v>Bom</v>
      </c>
      <c r="EM240" s="28" t="str">
        <f>IF(VLOOKUP(BP240,Fundamentus!A:U,4,FALSE)&lt;1,"Baixo",IF(VLOOKUP(BP240,Fundamentus!A:U,4,FALSE)&lt;1.5,"Moderado",IF(VLOOKUP(BP240,Fundamentus!A:U,4,FALSE)&gt;1.5,"Alto","n/a")))</f>
        <v>Baixo</v>
      </c>
      <c r="EN240" s="17" t="str">
        <f>IF(VLOOKUP(BP240,Fundamentus!A:U,8,FALSE)&lt;0,"Risco elevado",IF(VLOOKUP(BP240,Fundamentus!A:U,8,FALSE)&lt;1,"Saudável",IF(VLOOKUP(BP240,Fundamentus!A:U,8,FALSE)&lt;3,"Estável",IF(VLOOKUP(BP240,Fundamentus!A:U,8,FALSE)&gt;3,"Alerta","n/a"))))</f>
        <v>Risco elevado</v>
      </c>
      <c r="EO240" s="28" t="str">
        <f t="shared" si="240"/>
        <v>Ruim</v>
      </c>
      <c r="EP240" s="17" t="str">
        <f>IF(VLOOKUP(BP240,Fundamentus!A:U,12,FALSE)&lt;2,"Subvalorizada",IF(VLOOKUP(BP240,Fundamentus!A:U,12,FALSE)&lt;6,"Muita barata",IF(VLOOKUP(BP240,Fundamentus!A:U,12,FALSE)&lt;6,"Barata",IF(VLOOKUP(BP240,Fundamentus!A:U,12,FALSE)&lt;8,"Atrativa",IF(VLOOKUP(BP240,Fundamentus!A:U,12,FALSE)&gt;8,"Supervalorizada","n/a")))))</f>
        <v>Muita barata</v>
      </c>
      <c r="ER240" s="17" t="str">
        <f>IF(VLOOKUP(BP240,Fundamentus!A:U,17,FALSE)&lt;0.1,"Fraco retorno",IF(VLOOKUP(BP240,Fundamentus!A:U,17,FALSE)&gt;0.1,"Bom retorno","n/a"))</f>
        <v>Bom retorno</v>
      </c>
      <c r="ES240" s="17" t="str">
        <f>IF(VLOOKUP(BP240,Fundamentus!A:U,16,FALSE)&lt;0.1,"Ineficiente",IF(VLOOKUP(BP240,Fundamentus!A:U,16,FALSE)&gt;0.1,"Eficiente","n/a"))</f>
        <v>Eficiente</v>
      </c>
      <c r="ET240" s="33" t="str">
        <f>IF(VLOOKUP(BP240,Fundamentus!A:U,16,FALSE)&lt;0.1,"Oper. Ineficiente",IF(VLOOKUP(BP240,Fundamentus!A:U,16,FALSE)&gt;0.1,"Oper.Eficiente","n/a"))</f>
        <v>Oper.Eficiente</v>
      </c>
      <c r="EU240" s="34">
        <f>VLOOKUP(BP240,Fundamentus!A:U,14,FALSE)</f>
        <v>1.8599999999999998E-2</v>
      </c>
      <c r="EV240" s="17" t="str">
        <f>IF(VLOOKUP(BP240,Fundamentus!A:U,21,FALSE)&lt;0,"Negativo",IF(VLOOKUP(BP240,Fundamentus!A:U,21,FALSE)&lt;0.05,"Fraco",IF(VLOOKUP(BP240,Fundamentus!A:U,21,FALSE)&lt;0.1,"Bom",IF(VLOOKUP(BP240,Fundamentus!A:U,21,FALSE)&gt;0.1,"Muito bom","n/a"))))</f>
        <v>Muito bom</v>
      </c>
      <c r="EX240" s="29" t="str">
        <f>IF(VLOOKUP(BP240,Fundamentus!A:U,15,FALSE)&gt;1,"Bom",IF(VLOOKUP(BP240,Fundamentus!A:U,15,FALSE)&lt;1,"Ruim","n/a"))</f>
        <v>Ruim</v>
      </c>
      <c r="EY240" s="17" t="str">
        <f>IF(VLOOKUP(BP240,Fundamentus!A:U,20,FALSE)&lt;0.5,"Baixa",IF(VLOOKUP(BP240,Fundamentus!A:U,20,FALSE)&lt;1,"Moderada",IF(VLOOKUP(BP240,Fundamentus!A:U,20,FALSE)&lt;2,"Alerta",IF(VLOOKUP(BP240,Fundamentus!A:U,20,FALSE)&gt;2,"Alta","n/a"))))</f>
        <v>Alta</v>
      </c>
    </row>
    <row r="241" spans="1:155" s="2" customFormat="1" ht="11.25" x14ac:dyDescent="0.2">
      <c r="A241" s="4">
        <v>1.46</v>
      </c>
      <c r="B241" s="4">
        <v>1.28</v>
      </c>
      <c r="C241" s="4">
        <v>1.33</v>
      </c>
      <c r="D241" s="4">
        <v>1.24</v>
      </c>
      <c r="E241" s="4">
        <v>1.1599999999999999</v>
      </c>
      <c r="F241" s="4">
        <v>1.19</v>
      </c>
      <c r="G241" s="4">
        <v>1.2</v>
      </c>
      <c r="H241" s="4">
        <v>1.34</v>
      </c>
      <c r="I241" s="4">
        <v>1.52</v>
      </c>
      <c r="J241" s="4">
        <v>1.58</v>
      </c>
      <c r="K241" s="4">
        <v>1.7</v>
      </c>
      <c r="L241" s="4">
        <v>1.6</v>
      </c>
      <c r="M241" s="4">
        <v>1.42</v>
      </c>
      <c r="N241" s="4">
        <v>1.43</v>
      </c>
      <c r="O241" s="4">
        <v>1.54</v>
      </c>
      <c r="P241" s="4">
        <v>1.46</v>
      </c>
      <c r="Q241" s="4">
        <v>1.44</v>
      </c>
      <c r="R241" s="4">
        <v>1.5</v>
      </c>
      <c r="S241" s="4">
        <v>1.4</v>
      </c>
      <c r="T241" s="4">
        <v>1.32</v>
      </c>
      <c r="U241" s="4">
        <v>1.19</v>
      </c>
      <c r="V241" s="4">
        <v>1.34</v>
      </c>
      <c r="W241" s="4">
        <v>1.26</v>
      </c>
      <c r="X241" s="4">
        <v>1.24</v>
      </c>
      <c r="Y241" s="4">
        <v>1.24</v>
      </c>
      <c r="Z241" s="4">
        <v>1.21</v>
      </c>
      <c r="AA241" s="4">
        <v>1.1399999999999999</v>
      </c>
      <c r="AB241" s="4">
        <v>1.1599999999999999</v>
      </c>
      <c r="AC241" s="4">
        <v>1.1499999999999999</v>
      </c>
      <c r="AD241" s="4">
        <v>1.06</v>
      </c>
      <c r="AE241" s="4">
        <v>0.93</v>
      </c>
      <c r="AF241" s="4">
        <v>0.81</v>
      </c>
      <c r="AG241" s="4">
        <v>1</v>
      </c>
      <c r="AH241" s="4">
        <v>1.01</v>
      </c>
      <c r="AI241" s="4">
        <v>1.02</v>
      </c>
      <c r="AJ241" s="4">
        <v>0.97</v>
      </c>
      <c r="AK241" s="4">
        <v>0.96</v>
      </c>
      <c r="AL241" s="4">
        <v>1.07</v>
      </c>
      <c r="AM241" s="4">
        <v>1.23</v>
      </c>
      <c r="AN241" s="4">
        <v>1.3</v>
      </c>
      <c r="AO241" s="4">
        <v>1.6</v>
      </c>
      <c r="AP241" s="4">
        <v>0.81</v>
      </c>
      <c r="AQ241" s="4">
        <v>1.06</v>
      </c>
      <c r="AR241" s="4">
        <v>1.17</v>
      </c>
      <c r="AS241" s="4">
        <v>1.1399999999999999</v>
      </c>
      <c r="AT241" s="4">
        <v>1.02</v>
      </c>
      <c r="AU241" s="4">
        <v>1.0149999999999999</v>
      </c>
      <c r="AV241" s="4">
        <v>0.99</v>
      </c>
      <c r="AW241" s="4">
        <v>0.92</v>
      </c>
      <c r="AX241" s="4">
        <v>0.91</v>
      </c>
      <c r="AY241" s="12">
        <v>0.88</v>
      </c>
      <c r="AZ241" s="12">
        <v>0.8</v>
      </c>
      <c r="BA241" s="12">
        <v>0.75</v>
      </c>
      <c r="BB241" s="15">
        <v>0.95</v>
      </c>
      <c r="BC241" s="52">
        <v>0.92</v>
      </c>
      <c r="BD241" s="52">
        <v>0.76</v>
      </c>
      <c r="BE241" s="52">
        <v>0.71</v>
      </c>
      <c r="BF241" s="52">
        <v>0.73</v>
      </c>
      <c r="BG241" s="67">
        <v>0.69</v>
      </c>
      <c r="BH241" s="52">
        <v>0.63</v>
      </c>
      <c r="BI241" s="52">
        <v>0.59</v>
      </c>
      <c r="BJ241" s="52">
        <v>0.54</v>
      </c>
      <c r="BK241" s="52">
        <v>0.64</v>
      </c>
      <c r="BL241" s="52">
        <v>0.56000000000000005</v>
      </c>
      <c r="BM241" s="52">
        <v>0.55000000000000004</v>
      </c>
      <c r="BN241" s="52">
        <v>0.56000000000000005</v>
      </c>
      <c r="BO241" s="52" cm="1">
        <f t="array" aca="1" ref="BO241" ca="1">_FV(EC241,"Preço")</f>
        <v>0.56000000000000005</v>
      </c>
      <c r="BP241" s="69" t="s">
        <v>237</v>
      </c>
      <c r="BQ241" s="36" cm="1">
        <f t="array" aca="1" ref="BQ241" ca="1">_FV(EC241,"Média de volume",TRUE)</f>
        <v>1353070</v>
      </c>
      <c r="BR241" s="36">
        <v>355600</v>
      </c>
      <c r="BS241" s="36" cm="1">
        <f t="array" aca="1" ref="BS241" ca="1">_FV(EC241,"Volume")</f>
        <v>355600</v>
      </c>
      <c r="BT241" s="24" cm="1">
        <f t="array" aca="1" ref="BT241" ca="1">_FV(EC241,"Beta")</f>
        <v>1.0616000000000001</v>
      </c>
      <c r="BU241" s="71" cm="1">
        <f t="array" aca="1" ref="BU241" ca="1">_FV(EC241,"Variação (%)",TRUE)</f>
        <v>-1.7544000000000001E-2</v>
      </c>
      <c r="BW241" s="17" cm="1">
        <f t="array" aca="1" ref="BW241" ca="1">_FV(EC241,"Baixo")</f>
        <v>0.55000000000000004</v>
      </c>
      <c r="BX241" s="17" cm="1">
        <f t="array" aca="1" ref="BX241" ca="1">_FV(EC241,"Alto")</f>
        <v>0.56999999999999995</v>
      </c>
      <c r="BY241" s="24"/>
      <c r="BZ241" s="63" t="e">
        <f ca="1">SQRT(22.5*(BO241/VLOOKUP(BP241,Fundamentus!A:U,3,FALSE))*(BO241/VLOOKUP(BP241,Fundamentus!A:U,4,FALSE)))</f>
        <v>#NUM!</v>
      </c>
      <c r="CB241" s="62">
        <f t="shared" ca="1" si="241"/>
        <v>0</v>
      </c>
      <c r="CC241" s="8"/>
      <c r="CD241" s="61">
        <f t="shared" si="242"/>
        <v>0.54</v>
      </c>
      <c r="CE241" s="61">
        <f t="shared" si="243"/>
        <v>1.7</v>
      </c>
      <c r="CF241" s="61">
        <f t="shared" si="244"/>
        <v>1.0953787878787882</v>
      </c>
      <c r="CG241" s="14"/>
      <c r="CH241" s="35">
        <f t="shared" si="227"/>
        <v>0.44344582471999311</v>
      </c>
      <c r="CI241" s="15">
        <f t="shared" si="245"/>
        <v>0.51499999999998636</v>
      </c>
      <c r="CJ241" s="35">
        <f t="shared" si="228"/>
        <v>0.58655417527997966</v>
      </c>
      <c r="CL241" s="14"/>
      <c r="CM241" s="17">
        <f t="shared" si="229"/>
        <v>-0.99333333333333296</v>
      </c>
      <c r="CN241" s="17">
        <f t="shared" si="230"/>
        <v>-0.22666666666666646</v>
      </c>
      <c r="CO241" s="17">
        <f t="shared" si="231"/>
        <v>0.16666666666666696</v>
      </c>
      <c r="CP241" s="38">
        <f t="shared" si="246"/>
        <v>0.93333333333333346</v>
      </c>
      <c r="CQ241" s="17">
        <f t="shared" si="232"/>
        <v>1.3266666666666669</v>
      </c>
      <c r="CR241" s="17">
        <f t="shared" si="233"/>
        <v>2.0933333333333333</v>
      </c>
      <c r="CS241" s="17">
        <f t="shared" si="234"/>
        <v>2.4866666666666668</v>
      </c>
      <c r="CT241" s="2" cm="1">
        <f t="array" aca="1" ref="CT241" ca="1">MAX(_xlfn._xlws.FILTER(CM241:CS241,CM241:CS241&lt;BO241))</f>
        <v>0.16666666666666696</v>
      </c>
      <c r="CU241" s="2" cm="1">
        <f t="array" aca="1" ref="CU241" ca="1">MIN(_xlfn._xlws.FILTER($CM241:$CS241,$CM241:$CS241&gt;BO241))</f>
        <v>0.93333333333333346</v>
      </c>
      <c r="CV241" s="16">
        <f t="shared" ca="1" si="248"/>
        <v>4.5999999999999908</v>
      </c>
      <c r="CW241" s="20">
        <f t="shared" ca="1" si="249"/>
        <v>-2.2999999999999954</v>
      </c>
      <c r="CX241" s="20">
        <f t="shared" ca="1" si="250"/>
        <v>-1.5333333333333303</v>
      </c>
      <c r="CY241" s="20">
        <f t="shared" ca="1" si="251"/>
        <v>-0.91999999999999815</v>
      </c>
      <c r="CZ241" s="20">
        <f t="shared" ca="1" si="252"/>
        <v>-0.51111111111111007</v>
      </c>
      <c r="DA241" s="20">
        <f t="shared" ca="1" si="253"/>
        <v>-0.27058823529411713</v>
      </c>
      <c r="DB241" s="20">
        <f t="shared" ca="1" si="254"/>
        <v>-0.13939393939393913</v>
      </c>
      <c r="DC241" s="20">
        <f t="shared" ca="1" si="255"/>
        <v>-7.0769230769230626E-2</v>
      </c>
      <c r="DD241" s="21">
        <f t="shared" ca="1" si="256"/>
        <v>7.0769230769230626E-2</v>
      </c>
      <c r="DE241" s="21">
        <f t="shared" ca="1" si="257"/>
        <v>0.13939393939393913</v>
      </c>
      <c r="DF241" s="21">
        <f t="shared" ca="1" si="258"/>
        <v>0.27058823529411713</v>
      </c>
      <c r="DG241" s="21">
        <f t="shared" ca="1" si="259"/>
        <v>0.51111111111111007</v>
      </c>
      <c r="DH241" s="21">
        <f t="shared" ca="1" si="260"/>
        <v>0.91999999999999815</v>
      </c>
      <c r="DI241" s="21">
        <f t="shared" ca="1" si="261"/>
        <v>1.5333333333333303</v>
      </c>
      <c r="DJ241" s="21">
        <f t="shared" ca="1" si="262"/>
        <v>2.2999999999999954</v>
      </c>
      <c r="DL241" s="16" cm="1">
        <f t="array" aca="1" ref="DL241" ca="1">MAX(_xlfn._xlws.FILTER(CW241:DJ241,CW241:DJ241&lt;BU241))</f>
        <v>-7.0769230769230626E-2</v>
      </c>
      <c r="DM241" s="16" cm="1">
        <f t="array" aca="1" ref="DM241" ca="1">MIN(_xlfn._xlws.FILTER(CW241:DJ241,CW241:DJ241&gt;BU241))</f>
        <v>7.0769230769230626E-2</v>
      </c>
      <c r="DN241" s="2" cm="1">
        <f t="array" aca="1" ref="DN241" ca="1">_FV(EC241,"Fechamento anterior",TRUE)</f>
        <v>0.56999999999999995</v>
      </c>
      <c r="DO241" s="28">
        <f t="shared" ca="1" si="235"/>
        <v>0.3760488176964159</v>
      </c>
      <c r="DP241" s="15">
        <f t="shared" ca="1" si="263"/>
        <v>0.52966153846153852</v>
      </c>
      <c r="DQ241" s="15">
        <f t="shared" ca="1" si="264"/>
        <v>0.61033846153846139</v>
      </c>
      <c r="DR241" s="9"/>
      <c r="DS241" s="9"/>
      <c r="DT241" s="9"/>
      <c r="DU241" s="89">
        <v>0.14153846153846125</v>
      </c>
      <c r="DV241" s="89">
        <f t="shared" ca="1" si="236"/>
        <v>0.14153846153846125</v>
      </c>
      <c r="DW241" s="72">
        <f t="shared" ca="1" si="237"/>
        <v>0.6288941186720074</v>
      </c>
      <c r="DX241" s="37"/>
      <c r="DY241" s="35">
        <f t="shared" si="247"/>
        <v>3.5777087639996624E-2</v>
      </c>
      <c r="DZ241" s="56"/>
      <c r="EA241" s="56"/>
      <c r="EC241" s="2" t="e" vm="243">
        <v>#VALUE!</v>
      </c>
      <c r="EE241" s="10" cm="1">
        <f t="array" aca="1" ref="EE241" ca="1">_FV(EC241,"Ações em circulação",TRUE)</f>
        <v>592753700</v>
      </c>
      <c r="EF241" s="18">
        <f>VLOOKUP(BP241,Fundamentus!A:U,5,FALSE)</f>
        <v>2.16</v>
      </c>
      <c r="EG241" s="2">
        <f t="shared" ca="1" si="238"/>
        <v>153676885.18518519</v>
      </c>
      <c r="EH241" s="17">
        <v>-263110195.12555557</v>
      </c>
      <c r="EI241" s="17">
        <f t="shared" ca="1" si="239"/>
        <v>-263110195.12555557</v>
      </c>
      <c r="EK241" s="16">
        <f t="shared" ca="1" si="226"/>
        <v>0</v>
      </c>
      <c r="EL241" s="32" t="str">
        <f>IF(VLOOKUP(BP241,Fundamentus!A:U,3,FALSE)&lt;15,"Bom",IF(VLOOKUP(BP241,Fundamentus!A:U,3,FALSE)&gt;15,"Ruim","n/a"))</f>
        <v>Bom</v>
      </c>
      <c r="EM241" s="28" t="str">
        <f>IF(VLOOKUP(BP241,Fundamentus!A:U,4,FALSE)&lt;1,"Baixo",IF(VLOOKUP(BP241,Fundamentus!A:U,4,FALSE)&lt;1.5,"Moderado",IF(VLOOKUP(BP241,Fundamentus!A:U,4,FALSE)&gt;1.5,"Alto","n/a")))</f>
        <v>Baixo</v>
      </c>
      <c r="EN241" s="17" t="str">
        <f>IF(VLOOKUP(BP241,Fundamentus!A:U,8,FALSE)&lt;0,"Risco elevado",IF(VLOOKUP(BP241,Fundamentus!A:U,8,FALSE)&lt;1,"Saudável",IF(VLOOKUP(BP241,Fundamentus!A:U,8,FALSE)&lt;3,"Estável",IF(VLOOKUP(BP241,Fundamentus!A:U,8,FALSE)&gt;3,"Alerta","n/a"))))</f>
        <v>Risco elevado</v>
      </c>
      <c r="EO241" s="28" t="str">
        <f t="shared" si="240"/>
        <v>Bom</v>
      </c>
      <c r="EP241" s="17" t="str">
        <f>IF(VLOOKUP(BP241,Fundamentus!A:U,12,FALSE)&lt;2,"Subvalorizada",IF(VLOOKUP(BP241,Fundamentus!A:U,12,FALSE)&lt;6,"Muita barata",IF(VLOOKUP(BP241,Fundamentus!A:U,12,FALSE)&lt;6,"Barata",IF(VLOOKUP(BP241,Fundamentus!A:U,12,FALSE)&lt;8,"Atrativa",IF(VLOOKUP(BP241,Fundamentus!A:U,12,FALSE)&gt;8,"Supervalorizada","n/a")))))</f>
        <v>Subvalorizada</v>
      </c>
      <c r="ER241" s="17" t="str">
        <f>IF(VLOOKUP(BP241,Fundamentus!A:U,17,FALSE)&lt;0.1,"Fraco retorno",IF(VLOOKUP(BP241,Fundamentus!A:U,17,FALSE)&gt;0.1,"Bom retorno","n/a"))</f>
        <v>Fraco retorno</v>
      </c>
      <c r="ES241" s="17" t="str">
        <f>IF(VLOOKUP(BP241,Fundamentus!A:U,16,FALSE)&lt;0.1,"Ineficiente",IF(VLOOKUP(BP241,Fundamentus!A:U,16,FALSE)&gt;0.1,"Eficiente","n/a"))</f>
        <v>Ineficiente</v>
      </c>
      <c r="ET241" s="33" t="str">
        <f>IF(VLOOKUP(BP241,Fundamentus!A:U,16,FALSE)&lt;0.1,"Oper. Ineficiente",IF(VLOOKUP(BP241,Fundamentus!A:U,16,FALSE)&gt;0.1,"Oper.Eficiente","n/a"))</f>
        <v>Oper. Ineficiente</v>
      </c>
      <c r="EU241" s="34">
        <f>VLOOKUP(BP241,Fundamentus!A:U,14,FALSE)</f>
        <v>-1.7121</v>
      </c>
      <c r="EV241" s="17" t="str">
        <f>IF(VLOOKUP(BP241,Fundamentus!A:U,21,FALSE)&lt;0,"Negativo",IF(VLOOKUP(BP241,Fundamentus!A:U,21,FALSE)&lt;0.05,"Fraco",IF(VLOOKUP(BP241,Fundamentus!A:U,21,FALSE)&lt;0.1,"Bom",IF(VLOOKUP(BP241,Fundamentus!A:U,21,FALSE)&gt;0.1,"Muito bom","n/a"))))</f>
        <v>Muito bom</v>
      </c>
      <c r="EX241" s="29" t="str">
        <f>IF(VLOOKUP(BP241,Fundamentus!A:U,15,FALSE)&gt;1,"Bom",IF(VLOOKUP(BP241,Fundamentus!A:U,15,FALSE)&lt;1,"Ruim","n/a"))</f>
        <v>Ruim</v>
      </c>
      <c r="EY241" s="17" t="str">
        <f>IF(VLOOKUP(BP241,Fundamentus!A:U,20,FALSE)&lt;0.5,"Baixa",IF(VLOOKUP(BP241,Fundamentus!A:U,20,FALSE)&lt;1,"Moderada",IF(VLOOKUP(BP241,Fundamentus!A:U,20,FALSE)&lt;2,"Alerta",IF(VLOOKUP(BP241,Fundamentus!A:U,20,FALSE)&gt;2,"Alta","n/a"))))</f>
        <v>Baixa</v>
      </c>
    </row>
    <row r="242" spans="1:155" s="2" customFormat="1" ht="11.25" x14ac:dyDescent="0.2">
      <c r="A242" s="4">
        <v>14.25</v>
      </c>
      <c r="B242" s="4">
        <v>13.88</v>
      </c>
      <c r="C242" s="4">
        <v>13.4</v>
      </c>
      <c r="D242" s="4">
        <v>13.44</v>
      </c>
      <c r="E242" s="4">
        <v>13.1</v>
      </c>
      <c r="F242" s="4">
        <v>12.44</v>
      </c>
      <c r="G242" s="4">
        <v>12.03</v>
      </c>
      <c r="H242" s="4">
        <v>12.65</v>
      </c>
      <c r="I242" s="4">
        <v>12.83</v>
      </c>
      <c r="J242" s="4">
        <v>13.02</v>
      </c>
      <c r="K242" s="4">
        <v>13.35</v>
      </c>
      <c r="L242" s="4">
        <v>12.64</v>
      </c>
      <c r="M242" s="4">
        <v>12.03</v>
      </c>
      <c r="N242" s="4">
        <v>11.35</v>
      </c>
      <c r="O242" s="4">
        <v>11.69</v>
      </c>
      <c r="P242" s="4">
        <v>11.34</v>
      </c>
      <c r="Q242" s="4">
        <v>12.25</v>
      </c>
      <c r="R242" s="4">
        <v>11.86</v>
      </c>
      <c r="S242" s="4">
        <v>11.6</v>
      </c>
      <c r="T242" s="4">
        <v>11.9</v>
      </c>
      <c r="U242" s="4">
        <v>11.13</v>
      </c>
      <c r="V242" s="4">
        <v>13.25</v>
      </c>
      <c r="W242" s="4">
        <v>12.64</v>
      </c>
      <c r="X242" s="4">
        <v>11.87</v>
      </c>
      <c r="Y242" s="4">
        <v>11.48</v>
      </c>
      <c r="Z242" s="4">
        <v>11.8</v>
      </c>
      <c r="AA242" s="4">
        <v>11.65</v>
      </c>
      <c r="AB242" s="4">
        <v>11.76</v>
      </c>
      <c r="AC242" s="4">
        <v>10.64</v>
      </c>
      <c r="AD242" s="4">
        <v>11.11</v>
      </c>
      <c r="AE242" s="4">
        <v>11.11</v>
      </c>
      <c r="AF242" s="4">
        <v>11.16</v>
      </c>
      <c r="AG242" s="4">
        <v>10.69</v>
      </c>
      <c r="AH242" s="4">
        <v>8.86</v>
      </c>
      <c r="AI242" s="4">
        <v>8.68</v>
      </c>
      <c r="AJ242" s="4">
        <v>8.2100000000000009</v>
      </c>
      <c r="AK242" s="4">
        <v>7.73</v>
      </c>
      <c r="AL242" s="4">
        <v>8.1300000000000008</v>
      </c>
      <c r="AM242" s="4">
        <v>8.26</v>
      </c>
      <c r="AN242" s="4">
        <v>9.09</v>
      </c>
      <c r="AO242" s="4">
        <v>8.94</v>
      </c>
      <c r="AP242" s="4">
        <v>8.74</v>
      </c>
      <c r="AQ242" s="4">
        <v>8.6999999999999993</v>
      </c>
      <c r="AR242" s="4">
        <v>8.52</v>
      </c>
      <c r="AS242" s="4">
        <v>8.8000000000000007</v>
      </c>
      <c r="AT242" s="4">
        <v>10.220000000000001</v>
      </c>
      <c r="AU242" s="4">
        <v>10.055</v>
      </c>
      <c r="AV242" s="4">
        <v>9.74</v>
      </c>
      <c r="AW242" s="4">
        <v>8.23</v>
      </c>
      <c r="AX242" s="4">
        <v>8.6300000000000008</v>
      </c>
      <c r="AY242" s="12">
        <v>8.68</v>
      </c>
      <c r="AZ242" s="12">
        <v>9.39</v>
      </c>
      <c r="BA242" s="12">
        <v>9.3000000000000007</v>
      </c>
      <c r="BB242" s="15">
        <v>9.6300000000000008</v>
      </c>
      <c r="BC242" s="52">
        <v>9.27</v>
      </c>
      <c r="BD242" s="52">
        <v>8.84</v>
      </c>
      <c r="BE242" s="52">
        <v>8.25</v>
      </c>
      <c r="BF242" s="52">
        <v>8.23</v>
      </c>
      <c r="BG242" s="67">
        <v>7.94</v>
      </c>
      <c r="BH242" s="52">
        <v>7.87</v>
      </c>
      <c r="BI242" s="52">
        <v>7.5</v>
      </c>
      <c r="BJ242" s="52">
        <v>8.2100000000000009</v>
      </c>
      <c r="BK242" s="52">
        <v>8.24</v>
      </c>
      <c r="BL242" s="52">
        <v>7.82</v>
      </c>
      <c r="BM242" s="52">
        <v>8.3699999999999992</v>
      </c>
      <c r="BN242" s="52">
        <v>7.62</v>
      </c>
      <c r="BO242" s="52" cm="1">
        <f t="array" aca="1" ref="BO242" ca="1">_FV(EC242,"Preço")</f>
        <v>7.62</v>
      </c>
      <c r="BP242" s="69" t="s">
        <v>238</v>
      </c>
      <c r="BQ242" s="36" cm="1">
        <f t="array" aca="1" ref="BQ242" ca="1">_FV(EC242,"Média de volume",TRUE)</f>
        <v>9871150</v>
      </c>
      <c r="BR242" s="36">
        <v>12831300</v>
      </c>
      <c r="BS242" s="36" cm="1">
        <f t="array" aca="1" ref="BS242" ca="1">_FV(EC242,"Volume")</f>
        <v>12831300</v>
      </c>
      <c r="BT242" s="24" cm="1">
        <f t="array" aca="1" ref="BT242" ca="1">_FV(EC242,"Beta")</f>
        <v>1.4646999999999999</v>
      </c>
      <c r="BU242" s="71" cm="1">
        <f t="array" aca="1" ref="BU242" ca="1">_FV(EC242,"Variação (%)",TRUE)</f>
        <v>-4.9874999999999996E-2</v>
      </c>
      <c r="BW242" s="17" cm="1">
        <f t="array" aca="1" ref="BW242" ca="1">_FV(EC242,"Baixo")</f>
        <v>7.62</v>
      </c>
      <c r="BX242" s="17" cm="1">
        <f t="array" aca="1" ref="BX242" ca="1">_FV(EC242,"Alto")</f>
        <v>8.16</v>
      </c>
      <c r="BY242" s="24"/>
      <c r="BZ242" s="63" t="e">
        <f ca="1">SQRT(22.5*(BO242/VLOOKUP(BP242,Fundamentus!A:U,3,FALSE))*(BO242/VLOOKUP(BP242,Fundamentus!A:U,4,FALSE)))</f>
        <v>#NUM!</v>
      </c>
      <c r="CB242" s="62">
        <f t="shared" ca="1" si="241"/>
        <v>0</v>
      </c>
      <c r="CC242" s="8"/>
      <c r="CD242" s="61">
        <f t="shared" si="242"/>
        <v>7.5</v>
      </c>
      <c r="CE242" s="61">
        <f t="shared" si="243"/>
        <v>14.25</v>
      </c>
      <c r="CF242" s="61">
        <f t="shared" si="244"/>
        <v>10.394469696969697</v>
      </c>
      <c r="CG242" s="14"/>
      <c r="CH242" s="35">
        <f t="shared" si="227"/>
        <v>7.1179867726411201</v>
      </c>
      <c r="CI242" s="15">
        <f t="shared" si="245"/>
        <v>7.6850000000000591</v>
      </c>
      <c r="CJ242" s="35">
        <f t="shared" si="228"/>
        <v>8.2520132273589972</v>
      </c>
      <c r="CL242" s="14"/>
      <c r="CM242" s="17">
        <f t="shared" si="229"/>
        <v>-1.4199999999999982</v>
      </c>
      <c r="CN242" s="17">
        <f t="shared" si="230"/>
        <v>3.0400000000000009</v>
      </c>
      <c r="CO242" s="17">
        <f t="shared" si="231"/>
        <v>5.3300000000000018</v>
      </c>
      <c r="CP242" s="38">
        <f t="shared" si="246"/>
        <v>9.7900000000000009</v>
      </c>
      <c r="CQ242" s="17">
        <f t="shared" si="232"/>
        <v>12.080000000000002</v>
      </c>
      <c r="CR242" s="17">
        <f t="shared" si="233"/>
        <v>16.54</v>
      </c>
      <c r="CS242" s="17">
        <f t="shared" si="234"/>
        <v>18.830000000000002</v>
      </c>
      <c r="CT242" s="2" cm="1">
        <f t="array" aca="1" ref="CT242" ca="1">MAX(_xlfn._xlws.FILTER(CM242:CS242,CM242:CS242&lt;BO242))</f>
        <v>5.3300000000000018</v>
      </c>
      <c r="CU242" s="2" cm="1">
        <f t="array" aca="1" ref="CU242" ca="1">MIN(_xlfn._xlws.FILTER($CM242:$CS242,$CM242:$CS242&gt;BO242))</f>
        <v>9.7900000000000009</v>
      </c>
      <c r="CV242" s="16">
        <f t="shared" ca="1" si="248"/>
        <v>0.83677298311444614</v>
      </c>
      <c r="CW242" s="20">
        <f t="shared" ca="1" si="249"/>
        <v>-0.41838649155722307</v>
      </c>
      <c r="CX242" s="20">
        <f t="shared" ca="1" si="250"/>
        <v>-0.2789243277048154</v>
      </c>
      <c r="CY242" s="20">
        <f t="shared" ca="1" si="251"/>
        <v>-0.16735459662288923</v>
      </c>
      <c r="CZ242" s="20">
        <f t="shared" ca="1" si="252"/>
        <v>-9.2974775901605133E-2</v>
      </c>
      <c r="DA242" s="20">
        <f t="shared" ca="1" si="253"/>
        <v>-4.9221940183202716E-2</v>
      </c>
      <c r="DB242" s="20">
        <f t="shared" ca="1" si="254"/>
        <v>-2.5356757064074125E-2</v>
      </c>
      <c r="DC242" s="20">
        <f t="shared" ca="1" si="255"/>
        <v>-1.2873430509453018E-2</v>
      </c>
      <c r="DD242" s="21">
        <f t="shared" ca="1" si="256"/>
        <v>1.2873430509453018E-2</v>
      </c>
      <c r="DE242" s="21">
        <f t="shared" ca="1" si="257"/>
        <v>2.5356757064074125E-2</v>
      </c>
      <c r="DF242" s="21">
        <f t="shared" ca="1" si="258"/>
        <v>4.9221940183202716E-2</v>
      </c>
      <c r="DG242" s="21">
        <f t="shared" ca="1" si="259"/>
        <v>9.2974775901605133E-2</v>
      </c>
      <c r="DH242" s="21">
        <f t="shared" ca="1" si="260"/>
        <v>0.16735459662288923</v>
      </c>
      <c r="DI242" s="21">
        <f t="shared" ca="1" si="261"/>
        <v>0.2789243277048154</v>
      </c>
      <c r="DJ242" s="21">
        <f t="shared" ca="1" si="262"/>
        <v>0.41838649155722307</v>
      </c>
      <c r="DL242" s="16" cm="1">
        <f t="array" aca="1" ref="DL242" ca="1">MAX(_xlfn._xlws.FILTER(CW242:DJ242,CW242:DJ242&lt;BU242))</f>
        <v>-9.2974775901605133E-2</v>
      </c>
      <c r="DM242" s="16" cm="1">
        <f t="array" aca="1" ref="DM242" ca="1">MIN(_xlfn._xlws.FILTER(CW242:DJ242,CW242:DJ242&gt;BU242))</f>
        <v>-4.9221940183202716E-2</v>
      </c>
      <c r="DN242" s="2" cm="1">
        <f t="array" aca="1" ref="DN242" ca="1">_FV(EC242,"Fechamento anterior",TRUE)</f>
        <v>8.02</v>
      </c>
      <c r="DO242" s="28">
        <f t="shared" ca="1" si="235"/>
        <v>0.98506676134775317</v>
      </c>
      <c r="DP242" s="15">
        <f t="shared" ca="1" si="263"/>
        <v>7.2743422972691265</v>
      </c>
      <c r="DQ242" s="15">
        <f t="shared" ca="1" si="264"/>
        <v>7.6252400397307136</v>
      </c>
      <c r="DR242" s="9"/>
      <c r="DS242" s="9"/>
      <c r="DT242" s="9"/>
      <c r="DU242" s="89">
        <v>1.1996626517675933E-2</v>
      </c>
      <c r="DV242" s="89">
        <f t="shared" ca="1" si="236"/>
        <v>4.3752835718402418E-2</v>
      </c>
      <c r="DW242" s="72">
        <f t="shared" ca="1" si="237"/>
        <v>-0.11463577367113477</v>
      </c>
      <c r="DX242" s="37"/>
      <c r="DY242" s="35">
        <f t="shared" si="247"/>
        <v>0.28350661367946944</v>
      </c>
      <c r="DZ242" s="56"/>
      <c r="EA242" s="56"/>
      <c r="EC242" s="2" t="e" vm="244">
        <v>#VALUE!</v>
      </c>
      <c r="EE242" s="10" cm="1">
        <f t="array" aca="1" ref="EE242" ca="1">_FV(EC242,"Ações em circulação",TRUE)</f>
        <v>1326094000</v>
      </c>
      <c r="EF242" s="18">
        <f>VLOOKUP(BP242,Fundamentus!A:U,5,FALSE)</f>
        <v>0.25900000000000001</v>
      </c>
      <c r="EG242" s="2">
        <f t="shared" ca="1" si="238"/>
        <v>39014811891.891891</v>
      </c>
      <c r="EH242" s="17">
        <v>-1556690994.4864864</v>
      </c>
      <c r="EI242" s="17">
        <f t="shared" ca="1" si="239"/>
        <v>-1556690994.4864864</v>
      </c>
      <c r="EK242" s="16">
        <f t="shared" ca="1" si="226"/>
        <v>0</v>
      </c>
      <c r="EL242" s="32" t="str">
        <f>IF(VLOOKUP(BP242,Fundamentus!A:U,3,FALSE)&lt;15,"Bom",IF(VLOOKUP(BP242,Fundamentus!A:U,3,FALSE)&gt;15,"Ruim","n/a"))</f>
        <v>Bom</v>
      </c>
      <c r="EM242" s="28" t="str">
        <f>IF(VLOOKUP(BP242,Fundamentus!A:U,4,FALSE)&lt;1,"Baixo",IF(VLOOKUP(BP242,Fundamentus!A:U,4,FALSE)&lt;1.5,"Moderado",IF(VLOOKUP(BP242,Fundamentus!A:U,4,FALSE)&gt;1.5,"Alto","n/a")))</f>
        <v>Baixo</v>
      </c>
      <c r="EN242" s="17" t="str">
        <f>IF(VLOOKUP(BP242,Fundamentus!A:U,8,FALSE)&lt;0,"Risco elevado",IF(VLOOKUP(BP242,Fundamentus!A:U,8,FALSE)&lt;1,"Saudável",IF(VLOOKUP(BP242,Fundamentus!A:U,8,FALSE)&lt;3,"Estável",IF(VLOOKUP(BP242,Fundamentus!A:U,8,FALSE)&gt;3,"Alerta","n/a"))))</f>
        <v>Saudável</v>
      </c>
      <c r="EO242" s="28" t="str">
        <f t="shared" si="240"/>
        <v>Ruim</v>
      </c>
      <c r="EP242" s="17" t="str">
        <f>IF(VLOOKUP(BP242,Fundamentus!A:U,12,FALSE)&lt;2,"Subvalorizada",IF(VLOOKUP(BP242,Fundamentus!A:U,12,FALSE)&lt;6,"Muita barata",IF(VLOOKUP(BP242,Fundamentus!A:U,12,FALSE)&lt;6,"Barata",IF(VLOOKUP(BP242,Fundamentus!A:U,12,FALSE)&lt;8,"Atrativa",IF(VLOOKUP(BP242,Fundamentus!A:U,12,FALSE)&gt;8,"Supervalorizada","n/a")))))</f>
        <v>Muita barata</v>
      </c>
      <c r="ER242" s="17" t="str">
        <f>IF(VLOOKUP(BP242,Fundamentus!A:U,17,FALSE)&lt;0.1,"Fraco retorno",IF(VLOOKUP(BP242,Fundamentus!A:U,17,FALSE)&gt;0.1,"Bom retorno","n/a"))</f>
        <v>Fraco retorno</v>
      </c>
      <c r="ES242" s="17" t="str">
        <f>IF(VLOOKUP(BP242,Fundamentus!A:U,16,FALSE)&lt;0.1,"Ineficiente",IF(VLOOKUP(BP242,Fundamentus!A:U,16,FALSE)&gt;0.1,"Eficiente","n/a"))</f>
        <v>Ineficiente</v>
      </c>
      <c r="ET242" s="33" t="str">
        <f>IF(VLOOKUP(BP242,Fundamentus!A:U,16,FALSE)&lt;0.1,"Oper. Ineficiente",IF(VLOOKUP(BP242,Fundamentus!A:U,16,FALSE)&gt;0.1,"Oper.Eficiente","n/a"))</f>
        <v>Oper. Ineficiente</v>
      </c>
      <c r="EU242" s="34">
        <f>VLOOKUP(BP242,Fundamentus!A:U,14,FALSE)</f>
        <v>-3.9899999999999998E-2</v>
      </c>
      <c r="EV242" s="17" t="str">
        <f>IF(VLOOKUP(BP242,Fundamentus!A:U,21,FALSE)&lt;0,"Negativo",IF(VLOOKUP(BP242,Fundamentus!A:U,21,FALSE)&lt;0.05,"Fraco",IF(VLOOKUP(BP242,Fundamentus!A:U,21,FALSE)&lt;0.1,"Bom",IF(VLOOKUP(BP242,Fundamentus!A:U,21,FALSE)&gt;0.1,"Muito bom","n/a"))))</f>
        <v>Fraco</v>
      </c>
      <c r="EX242" s="29" t="str">
        <f>IF(VLOOKUP(BP242,Fundamentus!A:U,15,FALSE)&gt;1,"Bom",IF(VLOOKUP(BP242,Fundamentus!A:U,15,FALSE)&lt;1,"Ruim","n/a"))</f>
        <v>Bom</v>
      </c>
      <c r="EY242" s="17" t="str">
        <f>IF(VLOOKUP(BP242,Fundamentus!A:U,20,FALSE)&lt;0.5,"Baixa",IF(VLOOKUP(BP242,Fundamentus!A:U,20,FALSE)&lt;1,"Moderada",IF(VLOOKUP(BP242,Fundamentus!A:U,20,FALSE)&lt;2,"Alerta",IF(VLOOKUP(BP242,Fundamentus!A:U,20,FALSE)&gt;2,"Alta","n/a"))))</f>
        <v>Alta</v>
      </c>
    </row>
    <row r="243" spans="1:155" s="2" customFormat="1" ht="11.25" x14ac:dyDescent="0.2">
      <c r="A243" s="4">
        <v>1.1100000000000001</v>
      </c>
      <c r="B243" s="4">
        <v>1.06</v>
      </c>
      <c r="C243" s="4">
        <v>0.92</v>
      </c>
      <c r="D243" s="4">
        <v>0.91</v>
      </c>
      <c r="E243" s="4">
        <v>0.85</v>
      </c>
      <c r="F243" s="4">
        <v>0.87</v>
      </c>
      <c r="G243" s="4">
        <v>0.77</v>
      </c>
      <c r="H243" s="4">
        <v>0.74</v>
      </c>
      <c r="I243" s="4">
        <v>0.62</v>
      </c>
      <c r="J243" s="4">
        <v>0.7</v>
      </c>
      <c r="K243" s="4">
        <v>0.75</v>
      </c>
      <c r="L243" s="4">
        <v>0.95</v>
      </c>
      <c r="M243" s="4">
        <v>1.1000000000000001</v>
      </c>
      <c r="N243" s="4">
        <v>0.9</v>
      </c>
      <c r="O243" s="4">
        <v>0.9</v>
      </c>
      <c r="P243" s="4">
        <v>0.86</v>
      </c>
      <c r="Q243" s="4">
        <v>0.86</v>
      </c>
      <c r="R243" s="4">
        <v>0.86</v>
      </c>
      <c r="S243" s="4">
        <v>0.86</v>
      </c>
      <c r="T243" s="4">
        <v>0.86</v>
      </c>
      <c r="U243" s="4">
        <v>0.86</v>
      </c>
      <c r="V243" s="4">
        <v>0.86</v>
      </c>
      <c r="W243" s="4">
        <v>0.86</v>
      </c>
      <c r="X243" s="4">
        <v>0.86</v>
      </c>
      <c r="Y243" s="4">
        <v>0.86</v>
      </c>
      <c r="Z243" s="4">
        <v>0.86</v>
      </c>
      <c r="AA243" s="4">
        <v>0.86</v>
      </c>
      <c r="AB243" s="4">
        <v>0.86</v>
      </c>
      <c r="AC243" s="4">
        <v>0.86</v>
      </c>
      <c r="AD243" s="4">
        <v>0.86</v>
      </c>
      <c r="AE243" s="4">
        <v>0.86</v>
      </c>
      <c r="AF243" s="4">
        <v>0.86</v>
      </c>
      <c r="AG243" s="4">
        <v>0.86</v>
      </c>
      <c r="AH243" s="4">
        <v>0.86</v>
      </c>
      <c r="AI243" s="4">
        <v>0.86</v>
      </c>
      <c r="AJ243" s="4">
        <v>0.86</v>
      </c>
      <c r="AK243" s="4">
        <v>0.86</v>
      </c>
      <c r="AL243" s="4">
        <v>0.86</v>
      </c>
      <c r="AM243" s="4">
        <v>0.86</v>
      </c>
      <c r="AN243" s="4">
        <v>0.86</v>
      </c>
      <c r="AO243" s="4">
        <v>0.86</v>
      </c>
      <c r="AP243" s="4">
        <v>0.86</v>
      </c>
      <c r="AQ243" s="4">
        <v>0.86</v>
      </c>
      <c r="AR243" s="4">
        <v>0.86</v>
      </c>
      <c r="AS243" s="4">
        <v>0.86</v>
      </c>
      <c r="AT243" s="4">
        <v>0.86</v>
      </c>
      <c r="AU243" s="4">
        <v>0.86</v>
      </c>
      <c r="AV243" s="4">
        <v>0.86</v>
      </c>
      <c r="AW243" s="4">
        <v>0.86</v>
      </c>
      <c r="AX243" s="4">
        <v>0.86</v>
      </c>
      <c r="AY243" s="12">
        <v>0.86</v>
      </c>
      <c r="AZ243" s="12">
        <v>0.86</v>
      </c>
      <c r="BA243" s="12">
        <v>0.86</v>
      </c>
      <c r="BB243" s="15">
        <v>0.86</v>
      </c>
      <c r="BC243" s="52">
        <v>0.86</v>
      </c>
      <c r="BD243" s="52">
        <v>0.86</v>
      </c>
      <c r="BE243" s="52">
        <v>0.86</v>
      </c>
      <c r="BF243" s="52">
        <v>0.86</v>
      </c>
      <c r="BG243" s="67">
        <v>0.86</v>
      </c>
      <c r="BH243" s="52">
        <v>0.86</v>
      </c>
      <c r="BI243" s="52">
        <v>0.86</v>
      </c>
      <c r="BJ243" s="52">
        <v>0.86</v>
      </c>
      <c r="BK243" s="52">
        <v>0.86</v>
      </c>
      <c r="BL243" s="52">
        <v>0.86</v>
      </c>
      <c r="BM243" s="52">
        <v>0.86</v>
      </c>
      <c r="BN243" s="52">
        <v>0.86</v>
      </c>
      <c r="BO243" s="52" cm="1">
        <f t="array" aca="1" ref="BO243" ca="1">_FV(EC243,"Preço")</f>
        <v>0.86</v>
      </c>
      <c r="BP243" s="69" t="s">
        <v>239</v>
      </c>
      <c r="BQ243" s="36" t="e" cm="1" vm="3">
        <f t="array" ref="BQ243">_FV(EC243,"Média de volume",TRUE)</f>
        <v>#VALUE!</v>
      </c>
      <c r="BR243" s="36">
        <v>5000</v>
      </c>
      <c r="BS243" s="36" cm="1">
        <f t="array" aca="1" ref="BS243" ca="1">_FV(EC243,"Volume")</f>
        <v>5000</v>
      </c>
      <c r="BT243" s="24" cm="1">
        <f t="array" aca="1" ref="BT243" ca="1">_FV(EC243,"Beta")</f>
        <v>1.2122999999999999</v>
      </c>
      <c r="BU243" s="71" cm="1">
        <f t="array" aca="1" ref="BU243" ca="1">_FV(EC243,"Variação (%)",TRUE)</f>
        <v>-2.2727000000000001E-2</v>
      </c>
      <c r="BW243" s="17" cm="1">
        <f t="array" aca="1" ref="BW243" ca="1">_FV(EC243,"Baixo")</f>
        <v>0.86</v>
      </c>
      <c r="BX243" s="17" cm="1">
        <f t="array" aca="1" ref="BX243" ca="1">_FV(EC243,"Alto")</f>
        <v>0.86</v>
      </c>
      <c r="BY243" s="24"/>
      <c r="BZ243" s="63" t="e">
        <f ca="1">SQRT(22.5*(BO243/VLOOKUP(BP243,Fundamentus!A:U,3,FALSE))*(BO243/VLOOKUP(BP243,Fundamentus!A:U,4,FALSE)))</f>
        <v>#N/A</v>
      </c>
      <c r="CB243" s="62">
        <f t="shared" ca="1" si="241"/>
        <v>0</v>
      </c>
      <c r="CC243" s="8"/>
      <c r="CD243" s="61">
        <f t="shared" si="242"/>
        <v>0.62</v>
      </c>
      <c r="CE243" s="61">
        <f t="shared" si="243"/>
        <v>1.1100000000000001</v>
      </c>
      <c r="CF243" s="61">
        <f t="shared" si="244"/>
        <v>0.86378787878787844</v>
      </c>
      <c r="CG243" s="14"/>
      <c r="CH243" s="35">
        <f t="shared" si="227"/>
        <v>0.86</v>
      </c>
      <c r="CI243" s="15">
        <f t="shared" si="245"/>
        <v>0.86</v>
      </c>
      <c r="CJ243" s="35">
        <f t="shared" si="228"/>
        <v>0.86</v>
      </c>
      <c r="CL243" s="14"/>
      <c r="CM243" s="17">
        <f t="shared" si="229"/>
        <v>0.12666666666666637</v>
      </c>
      <c r="CN243" s="17">
        <f t="shared" si="230"/>
        <v>0.37333333333333318</v>
      </c>
      <c r="CO243" s="17">
        <f t="shared" si="231"/>
        <v>0.61666666666666647</v>
      </c>
      <c r="CP243" s="38">
        <f t="shared" si="246"/>
        <v>0.86333333333333329</v>
      </c>
      <c r="CQ243" s="17">
        <f t="shared" si="232"/>
        <v>1.1066666666666665</v>
      </c>
      <c r="CR243" s="17">
        <f t="shared" si="233"/>
        <v>1.3533333333333335</v>
      </c>
      <c r="CS243" s="17">
        <f t="shared" si="234"/>
        <v>1.5966666666666667</v>
      </c>
      <c r="CT243" s="2" cm="1">
        <f t="array" aca="1" ref="CT243" ca="1">MAX(_xlfn._xlws.FILTER(CM243:CS243,CM243:CS243&lt;BO243))</f>
        <v>0.61666666666666647</v>
      </c>
      <c r="CU243" s="2" cm="1">
        <f t="array" aca="1" ref="CU243" ca="1">MIN(_xlfn._xlws.FILTER($CM243:$CS243,$CM243:$CS243&gt;BO243))</f>
        <v>0.86333333333333329</v>
      </c>
      <c r="CV243" s="16">
        <f t="shared" ca="1" si="248"/>
        <v>0.40000000000000036</v>
      </c>
      <c r="CW243" s="20">
        <f t="shared" ca="1" si="249"/>
        <v>-0.20000000000000018</v>
      </c>
      <c r="CX243" s="20">
        <f t="shared" ca="1" si="250"/>
        <v>-0.13333333333333344</v>
      </c>
      <c r="CY243" s="20">
        <f t="shared" ca="1" si="251"/>
        <v>-8.0000000000000071E-2</v>
      </c>
      <c r="CZ243" s="20">
        <f t="shared" ca="1" si="252"/>
        <v>-4.4444444444444481E-2</v>
      </c>
      <c r="DA243" s="20">
        <f t="shared" ca="1" si="253"/>
        <v>-2.3529411764705903E-2</v>
      </c>
      <c r="DB243" s="20">
        <f t="shared" ca="1" si="254"/>
        <v>-1.2121212121212132E-2</v>
      </c>
      <c r="DC243" s="20">
        <f t="shared" ca="1" si="255"/>
        <v>-6.153846153846159E-3</v>
      </c>
      <c r="DD243" s="21">
        <f t="shared" ca="1" si="256"/>
        <v>6.153846153846159E-3</v>
      </c>
      <c r="DE243" s="21">
        <f t="shared" ca="1" si="257"/>
        <v>1.2121212121212132E-2</v>
      </c>
      <c r="DF243" s="21">
        <f t="shared" ca="1" si="258"/>
        <v>2.3529411764705903E-2</v>
      </c>
      <c r="DG243" s="21">
        <f t="shared" ca="1" si="259"/>
        <v>4.4444444444444481E-2</v>
      </c>
      <c r="DH243" s="21">
        <f t="shared" ca="1" si="260"/>
        <v>8.0000000000000071E-2</v>
      </c>
      <c r="DI243" s="21">
        <f t="shared" ca="1" si="261"/>
        <v>0.13333333333333344</v>
      </c>
      <c r="DJ243" s="21">
        <f t="shared" ca="1" si="262"/>
        <v>0.20000000000000018</v>
      </c>
      <c r="DL243" s="16" cm="1">
        <f t="array" aca="1" ref="DL243" ca="1">MAX(_xlfn._xlws.FILTER(CW243:DJ243,CW243:DJ243&lt;BU243))</f>
        <v>-2.3529411764705903E-2</v>
      </c>
      <c r="DM243" s="16" cm="1">
        <f t="array" aca="1" ref="DM243" ca="1">MIN(_xlfn._xlws.FILTER(CW243:DJ243,CW243:DJ243&gt;BU243))</f>
        <v>-1.2121212121212132E-2</v>
      </c>
      <c r="DN243" s="2" cm="1">
        <f t="array" aca="1" ref="DN243" ca="1">_FV(EC243,"Fechamento anterior",TRUE)</f>
        <v>0.88</v>
      </c>
      <c r="DO243" s="28">
        <f t="shared" ca="1" si="235"/>
        <v>7.0312500000004496E-2</v>
      </c>
      <c r="DP243" s="15">
        <f t="shared" ca="1" si="263"/>
        <v>0.85929411764705876</v>
      </c>
      <c r="DQ243" s="15">
        <f t="shared" ca="1" si="264"/>
        <v>0.86933333333333329</v>
      </c>
      <c r="DR243" s="9"/>
      <c r="DS243" s="9"/>
      <c r="DT243" s="9"/>
      <c r="DU243" s="89">
        <v>1.1408199643493771E-2</v>
      </c>
      <c r="DV243" s="89">
        <f t="shared" ca="1" si="236"/>
        <v>1.1408199643493771E-2</v>
      </c>
      <c r="DW243" s="72" t="e">
        <f t="shared" ca="1" si="237"/>
        <v>#DIV/0!</v>
      </c>
      <c r="DX243" s="37"/>
      <c r="DY243" s="35">
        <f t="shared" si="247"/>
        <v>0</v>
      </c>
      <c r="DZ243" s="56"/>
      <c r="EA243" s="56"/>
      <c r="EC243" s="2" t="e" vm="245">
        <v>#VALUE!</v>
      </c>
      <c r="EE243" s="10" cm="1">
        <f t="array" aca="1" ref="EE243" ca="1">_FV(EC243,"Ações em circulação",TRUE)</f>
        <v>30636460</v>
      </c>
      <c r="EF243" s="18" t="e">
        <f>VLOOKUP(BP243,Fundamentus!A:U,5,FALSE)</f>
        <v>#N/A</v>
      </c>
      <c r="EG243" s="2" t="e">
        <f t="shared" ca="1" si="238"/>
        <v>#N/A</v>
      </c>
      <c r="EH243" s="17" t="e">
        <v>#N/A</v>
      </c>
      <c r="EI243" s="17" t="e">
        <f t="shared" ca="1" si="239"/>
        <v>#N/A</v>
      </c>
      <c r="EK243" s="16" t="e">
        <f t="shared" ca="1" si="226"/>
        <v>#N/A</v>
      </c>
      <c r="EL243" s="32" t="e">
        <f>IF(VLOOKUP(BP243,Fundamentus!A:U,3,FALSE)&lt;15,"Bom",IF(VLOOKUP(BP243,Fundamentus!A:U,3,FALSE)&gt;15,"Ruim","n/a"))</f>
        <v>#N/A</v>
      </c>
      <c r="EM243" s="28" t="e">
        <f>IF(VLOOKUP(BP243,Fundamentus!A:U,4,FALSE)&lt;1,"Baixo",IF(VLOOKUP(BP243,Fundamentus!A:U,4,FALSE)&lt;1.5,"Moderado",IF(VLOOKUP(BP243,Fundamentus!A:U,4,FALSE)&gt;1.5,"Alto","n/a")))</f>
        <v>#N/A</v>
      </c>
      <c r="EN243" s="17" t="e">
        <f>IF(VLOOKUP(BP243,Fundamentus!A:U,8,FALSE)&lt;0,"Risco elevado",IF(VLOOKUP(BP243,Fundamentus!A:U,8,FALSE)&lt;1,"Saudável",IF(VLOOKUP(BP243,Fundamentus!A:U,8,FALSE)&lt;3,"Estável",IF(VLOOKUP(BP243,Fundamentus!A:U,8,FALSE)&gt;3,"Alerta","n/a"))))</f>
        <v>#N/A</v>
      </c>
      <c r="EO243" s="28" t="e">
        <f t="shared" si="240"/>
        <v>#N/A</v>
      </c>
      <c r="EP243" s="17" t="e">
        <f>IF(VLOOKUP(BP243,Fundamentus!A:U,12,FALSE)&lt;2,"Subvalorizada",IF(VLOOKUP(BP243,Fundamentus!A:U,12,FALSE)&lt;6,"Muita barata",IF(VLOOKUP(BP243,Fundamentus!A:U,12,FALSE)&lt;6,"Barata",IF(VLOOKUP(BP243,Fundamentus!A:U,12,FALSE)&lt;8,"Atrativa",IF(VLOOKUP(BP243,Fundamentus!A:U,12,FALSE)&gt;8,"Supervalorizada","n/a")))))</f>
        <v>#N/A</v>
      </c>
      <c r="ER243" s="17" t="e">
        <f>IF(VLOOKUP(BP243,Fundamentus!A:U,17,FALSE)&lt;0.1,"Fraco retorno",IF(VLOOKUP(BP243,Fundamentus!A:U,17,FALSE)&gt;0.1,"Bom retorno","n/a"))</f>
        <v>#N/A</v>
      </c>
      <c r="ES243" s="17" t="e">
        <f>IF(VLOOKUP(BP243,Fundamentus!A:U,16,FALSE)&lt;0.1,"Ineficiente",IF(VLOOKUP(BP243,Fundamentus!A:U,16,FALSE)&gt;0.1,"Eficiente","n/a"))</f>
        <v>#N/A</v>
      </c>
      <c r="ET243" s="33" t="e">
        <f>IF(VLOOKUP(BP243,Fundamentus!A:U,16,FALSE)&lt;0.1,"Oper. Ineficiente",IF(VLOOKUP(BP243,Fundamentus!A:U,16,FALSE)&gt;0.1,"Oper.Eficiente","n/a"))</f>
        <v>#N/A</v>
      </c>
      <c r="EU243" s="34" t="e">
        <f>VLOOKUP(BP243,Fundamentus!A:U,14,FALSE)</f>
        <v>#N/A</v>
      </c>
      <c r="EV243" s="17" t="e">
        <f>IF(VLOOKUP(BP243,Fundamentus!A:U,21,FALSE)&lt;0,"Negativo",IF(VLOOKUP(BP243,Fundamentus!A:U,21,FALSE)&lt;0.05,"Fraco",IF(VLOOKUP(BP243,Fundamentus!A:U,21,FALSE)&lt;0.1,"Bom",IF(VLOOKUP(BP243,Fundamentus!A:U,21,FALSE)&gt;0.1,"Muito bom","n/a"))))</f>
        <v>#N/A</v>
      </c>
      <c r="EX243" s="29" t="e">
        <f>IF(VLOOKUP(BP243,Fundamentus!A:U,15,FALSE)&gt;1,"Bom",IF(VLOOKUP(BP243,Fundamentus!A:U,15,FALSE)&lt;1,"Ruim","n/a"))</f>
        <v>#N/A</v>
      </c>
      <c r="EY243" s="17" t="e">
        <f>IF(VLOOKUP(BP243,Fundamentus!A:U,20,FALSE)&lt;0.5,"Baixa",IF(VLOOKUP(BP243,Fundamentus!A:U,20,FALSE)&lt;1,"Moderada",IF(VLOOKUP(BP243,Fundamentus!A:U,20,FALSE)&lt;2,"Alerta",IF(VLOOKUP(BP243,Fundamentus!A:U,20,FALSE)&gt;2,"Alta","n/a"))))</f>
        <v>#N/A</v>
      </c>
    </row>
    <row r="244" spans="1:155" s="2" customFormat="1" ht="11.25" x14ac:dyDescent="0.2">
      <c r="A244" s="4">
        <v>0.74</v>
      </c>
      <c r="B244" s="4">
        <v>0.71</v>
      </c>
      <c r="C244" s="4">
        <v>0.46</v>
      </c>
      <c r="D244" s="4">
        <v>0.51</v>
      </c>
      <c r="E244" s="4">
        <v>0.47</v>
      </c>
      <c r="F244" s="4">
        <v>0.37</v>
      </c>
      <c r="G244" s="4">
        <v>0.36</v>
      </c>
      <c r="H244" s="4">
        <v>0.33</v>
      </c>
      <c r="I244" s="4">
        <v>0.34</v>
      </c>
      <c r="J244" s="4">
        <v>0.37</v>
      </c>
      <c r="K244" s="4">
        <v>0.42</v>
      </c>
      <c r="L244" s="4">
        <v>0.35</v>
      </c>
      <c r="M244" s="4">
        <v>0.36</v>
      </c>
      <c r="N244" s="4">
        <v>0.35</v>
      </c>
      <c r="O244" s="4">
        <v>0.37</v>
      </c>
      <c r="P244" s="4">
        <v>0.19</v>
      </c>
      <c r="Q244" s="4">
        <v>0.17</v>
      </c>
      <c r="R244" s="4">
        <v>0.14000000000000001</v>
      </c>
      <c r="S244" s="4">
        <v>0.14000000000000001</v>
      </c>
      <c r="T244" s="4">
        <v>0.17</v>
      </c>
      <c r="U244" s="4">
        <v>0.16</v>
      </c>
      <c r="V244" s="4">
        <v>0.16</v>
      </c>
      <c r="W244" s="4">
        <v>0.17</v>
      </c>
      <c r="X244" s="4">
        <v>0.16</v>
      </c>
      <c r="Y244" s="4">
        <v>0.14000000000000001</v>
      </c>
      <c r="Z244" s="4">
        <v>0.14000000000000001</v>
      </c>
      <c r="AA244" s="4">
        <v>0.14000000000000001</v>
      </c>
      <c r="AB244" s="4">
        <v>0.12</v>
      </c>
      <c r="AC244" s="4">
        <v>0.12</v>
      </c>
      <c r="AD244" s="4">
        <v>0.12</v>
      </c>
      <c r="AE244" s="4">
        <v>0.12</v>
      </c>
      <c r="AF244" s="4">
        <v>0.1</v>
      </c>
      <c r="AG244" s="4">
        <v>0.1</v>
      </c>
      <c r="AH244" s="4">
        <v>0.06</v>
      </c>
      <c r="AI244" s="4">
        <v>0.06</v>
      </c>
      <c r="AJ244" s="4">
        <v>0.06</v>
      </c>
      <c r="AK244" s="4">
        <v>0.09</v>
      </c>
      <c r="AL244" s="4">
        <v>0.08</v>
      </c>
      <c r="AM244" s="4">
        <v>0.08</v>
      </c>
      <c r="AN244" s="4">
        <v>7.0000000000000007E-2</v>
      </c>
      <c r="AO244" s="4">
        <v>7.0000000000000007E-2</v>
      </c>
      <c r="AP244" s="4">
        <v>7.0000000000000007E-2</v>
      </c>
      <c r="AQ244" s="4">
        <v>0.06</v>
      </c>
      <c r="AR244" s="4">
        <v>0.06</v>
      </c>
      <c r="AS244" s="4">
        <v>0.06</v>
      </c>
      <c r="AT244" s="4">
        <v>0.06</v>
      </c>
      <c r="AU244" s="4">
        <v>8.4999999999999992E-2</v>
      </c>
      <c r="AV244" s="4">
        <v>0.11</v>
      </c>
      <c r="AW244" s="4">
        <v>0.1</v>
      </c>
      <c r="AX244" s="4">
        <v>0.09</v>
      </c>
      <c r="AY244" s="12">
        <v>0.09</v>
      </c>
      <c r="AZ244" s="12">
        <v>0.08</v>
      </c>
      <c r="BA244" s="12">
        <v>0.08</v>
      </c>
      <c r="BB244" s="15">
        <v>0.1</v>
      </c>
      <c r="BC244" s="52">
        <v>0.08</v>
      </c>
      <c r="BD244" s="52">
        <v>7.0000000000000007E-2</v>
      </c>
      <c r="BE244" s="52">
        <v>7.0000000000000007E-2</v>
      </c>
      <c r="BF244" s="52">
        <v>7.0000000000000007E-2</v>
      </c>
      <c r="BG244" s="67">
        <v>7.0000000000000007E-2</v>
      </c>
      <c r="BH244" s="52">
        <v>0.05</v>
      </c>
      <c r="BI244" s="52">
        <v>0.05</v>
      </c>
      <c r="BJ244" s="52">
        <v>0.05</v>
      </c>
      <c r="BK244" s="52">
        <v>0.05</v>
      </c>
      <c r="BL244" s="52">
        <v>0.04</v>
      </c>
      <c r="BM244" s="52">
        <v>0.04</v>
      </c>
      <c r="BN244" s="52">
        <v>0.79</v>
      </c>
      <c r="BO244" s="52" cm="1">
        <f t="array" aca="1" ref="BO244" ca="1">_FV(EC244,"Preço")</f>
        <v>0.79</v>
      </c>
      <c r="BP244" s="69" t="s">
        <v>240</v>
      </c>
      <c r="BQ244" s="36" cm="1">
        <f t="array" aca="1" ref="BQ244" ca="1">_FV(EC244,"Média de volume",TRUE)</f>
        <v>879500</v>
      </c>
      <c r="BR244" s="36">
        <v>1487300</v>
      </c>
      <c r="BS244" s="36" cm="1">
        <f t="array" aca="1" ref="BS244" ca="1">_FV(EC244,"Volume")</f>
        <v>1487300</v>
      </c>
      <c r="BT244" s="24" cm="1">
        <f t="array" aca="1" ref="BT244" ca="1">_FV(EC244,"Beta")</f>
        <v>2.5613999999999999</v>
      </c>
      <c r="BU244" s="71" cm="1">
        <f t="array" aca="1" ref="BU244" ca="1">_FV(EC244,"Variação (%)",TRUE)</f>
        <v>8.2192000000000001E-2</v>
      </c>
      <c r="BW244" s="17" cm="1">
        <f t="array" aca="1" ref="BW244" ca="1">_FV(EC244,"Baixo")</f>
        <v>0.75</v>
      </c>
      <c r="BX244" s="17" cm="1">
        <f t="array" aca="1" ref="BX244" ca="1">_FV(EC244,"Alto")</f>
        <v>0.82</v>
      </c>
      <c r="BY244" s="24"/>
      <c r="BZ244" s="63">
        <f ca="1">SQRT(22.5*(BO244/VLOOKUP(BP244,Fundamentus!A:U,3,FALSE))*(BO244/VLOOKUP(BP244,Fundamentus!A:U,4,FALSE)))</f>
        <v>26.766421623568068</v>
      </c>
      <c r="CB244" s="62">
        <f t="shared" ca="1" si="241"/>
        <v>0</v>
      </c>
      <c r="CC244" s="8"/>
      <c r="CD244" s="61">
        <f t="shared" si="242"/>
        <v>0.04</v>
      </c>
      <c r="CE244" s="61">
        <f t="shared" si="243"/>
        <v>0.79</v>
      </c>
      <c r="CF244" s="61">
        <f t="shared" si="244"/>
        <v>0.18356060606060609</v>
      </c>
      <c r="CG244" s="14"/>
      <c r="CH244" s="35">
        <f t="shared" si="227"/>
        <v>0.18893288968447319</v>
      </c>
      <c r="CI244" s="15">
        <f t="shared" si="245"/>
        <v>0.78500000000008185</v>
      </c>
      <c r="CJ244" s="35">
        <f t="shared" si="228"/>
        <v>1.3810671103156906</v>
      </c>
      <c r="CL244" s="14"/>
      <c r="CM244" s="17">
        <f t="shared" si="229"/>
        <v>-0.46</v>
      </c>
      <c r="CN244" s="17">
        <f t="shared" si="230"/>
        <v>-0.20999999999999996</v>
      </c>
      <c r="CO244" s="17">
        <f t="shared" si="231"/>
        <v>0.29000000000000004</v>
      </c>
      <c r="CP244" s="38">
        <f t="shared" si="246"/>
        <v>0.54</v>
      </c>
      <c r="CQ244" s="17">
        <f t="shared" si="232"/>
        <v>1.04</v>
      </c>
      <c r="CR244" s="17">
        <f t="shared" si="233"/>
        <v>1.29</v>
      </c>
      <c r="CS244" s="17">
        <f t="shared" si="234"/>
        <v>1.79</v>
      </c>
      <c r="CT244" s="2" cm="1">
        <f t="array" aca="1" ref="CT244" ca="1">MAX(_xlfn._xlws.FILTER(CM244:CS244,CM244:CS244&lt;BO244))</f>
        <v>0.54</v>
      </c>
      <c r="CU244" s="2" cm="1">
        <f t="array" aca="1" ref="CU244" ca="1">MIN(_xlfn._xlws.FILTER($CM244:$CS244,$CM244:$CS244&gt;BO244))</f>
        <v>1.04</v>
      </c>
      <c r="CV244" s="16">
        <f t="shared" ca="1" si="248"/>
        <v>0.92592592592592582</v>
      </c>
      <c r="CW244" s="20">
        <f t="shared" ca="1" si="249"/>
        <v>-0.46296296296296291</v>
      </c>
      <c r="CX244" s="20">
        <f t="shared" ca="1" si="250"/>
        <v>-0.30864197530864196</v>
      </c>
      <c r="CY244" s="20">
        <f t="shared" ca="1" si="251"/>
        <v>-0.18518518518518517</v>
      </c>
      <c r="CZ244" s="20">
        <f t="shared" ca="1" si="252"/>
        <v>-0.10288065843621398</v>
      </c>
      <c r="DA244" s="20">
        <f t="shared" ca="1" si="253"/>
        <v>-5.4466230936819168E-2</v>
      </c>
      <c r="DB244" s="20">
        <f t="shared" ca="1" si="254"/>
        <v>-2.8058361391694722E-2</v>
      </c>
      <c r="DC244" s="20">
        <f t="shared" ca="1" si="255"/>
        <v>-1.4245014245014244E-2</v>
      </c>
      <c r="DD244" s="21">
        <f t="shared" ca="1" si="256"/>
        <v>1.4245014245014244E-2</v>
      </c>
      <c r="DE244" s="21">
        <f t="shared" ca="1" si="257"/>
        <v>2.8058361391694722E-2</v>
      </c>
      <c r="DF244" s="21">
        <f t="shared" ca="1" si="258"/>
        <v>5.4466230936819168E-2</v>
      </c>
      <c r="DG244" s="21">
        <f t="shared" ca="1" si="259"/>
        <v>0.10288065843621398</v>
      </c>
      <c r="DH244" s="21">
        <f t="shared" ca="1" si="260"/>
        <v>0.18518518518518517</v>
      </c>
      <c r="DI244" s="21">
        <f t="shared" ca="1" si="261"/>
        <v>0.30864197530864196</v>
      </c>
      <c r="DJ244" s="21">
        <f t="shared" ca="1" si="262"/>
        <v>0.46296296296296291</v>
      </c>
      <c r="DL244" s="16" cm="1">
        <f t="array" aca="1" ref="DL244" ca="1">MAX(_xlfn._xlws.FILTER(CW244:DJ244,CW244:DJ244&lt;BU244))</f>
        <v>5.4466230936819168E-2</v>
      </c>
      <c r="DM244" s="16" cm="1">
        <f t="array" aca="1" ref="DM244" ca="1">MIN(_xlfn._xlws.FILTER(CW244:DJ244,CW244:DJ244&gt;BU244))</f>
        <v>0.10288065843621398</v>
      </c>
      <c r="DN244" s="2" cm="1">
        <f t="array" aca="1" ref="DN244" ca="1">_FV(EC244,"Fechamento anterior",TRUE)</f>
        <v>0.73</v>
      </c>
      <c r="DO244" s="28">
        <f t="shared" ca="1" si="235"/>
        <v>0.5726712328767144</v>
      </c>
      <c r="DP244" s="15">
        <f t="shared" ca="1" si="263"/>
        <v>0.76976034858387798</v>
      </c>
      <c r="DQ244" s="15">
        <f t="shared" ca="1" si="264"/>
        <v>0.80510288065843616</v>
      </c>
      <c r="DR244" s="9"/>
      <c r="DS244" s="9"/>
      <c r="DT244" s="9"/>
      <c r="DU244" s="89">
        <v>7.4270557029177744E-2</v>
      </c>
      <c r="DV244" s="89">
        <f t="shared" ca="1" si="236"/>
        <v>4.8414427499394813E-2</v>
      </c>
      <c r="DW244" s="72">
        <f t="shared" ca="1" si="237"/>
        <v>8.3883172102395577E-3</v>
      </c>
      <c r="DX244" s="37"/>
      <c r="DY244" s="35">
        <f t="shared" si="247"/>
        <v>0.29803355515780433</v>
      </c>
      <c r="DZ244" s="56"/>
      <c r="EA244" s="56"/>
      <c r="EC244" s="2" t="e" vm="246">
        <v>#VALUE!</v>
      </c>
      <c r="EE244" s="10" cm="1">
        <f t="array" aca="1" ref="EE244" ca="1">_FV(EC244,"Ações em circulação",TRUE)</f>
        <v>90107840</v>
      </c>
      <c r="EF244" s="18">
        <f>VLOOKUP(BP244,Fundamentus!A:U,5,FALSE)</f>
        <v>7.0000000000000007E-2</v>
      </c>
      <c r="EG244" s="2">
        <f t="shared" ca="1" si="238"/>
        <v>1016931337.1428572</v>
      </c>
      <c r="EH244" s="17">
        <v>-1687292474.5874286</v>
      </c>
      <c r="EI244" s="17">
        <f t="shared" ca="1" si="239"/>
        <v>-1687292474.5874286</v>
      </c>
      <c r="EK244" s="16">
        <f t="shared" ca="1" si="226"/>
        <v>0</v>
      </c>
      <c r="EL244" s="32" t="str">
        <f>IF(VLOOKUP(BP244,Fundamentus!A:U,3,FALSE)&lt;15,"Bom",IF(VLOOKUP(BP244,Fundamentus!A:U,3,FALSE)&gt;15,"Ruim","n/a"))</f>
        <v>Bom</v>
      </c>
      <c r="EM244" s="28" t="str">
        <f>IF(VLOOKUP(BP244,Fundamentus!A:U,4,FALSE)&lt;1,"Baixo",IF(VLOOKUP(BP244,Fundamentus!A:U,4,FALSE)&lt;1.5,"Moderado",IF(VLOOKUP(BP244,Fundamentus!A:U,4,FALSE)&gt;1.5,"Alto","n/a")))</f>
        <v>Baixo</v>
      </c>
      <c r="EN244" s="17" t="str">
        <f>IF(VLOOKUP(BP244,Fundamentus!A:U,8,FALSE)&lt;0,"Risco elevado",IF(VLOOKUP(BP244,Fundamentus!A:U,8,FALSE)&lt;1,"Saudável",IF(VLOOKUP(BP244,Fundamentus!A:U,8,FALSE)&lt;3,"Estável",IF(VLOOKUP(BP244,Fundamentus!A:U,8,FALSE)&gt;3,"Alerta","n/a"))))</f>
        <v>Risco elevado</v>
      </c>
      <c r="EO244" s="28" t="str">
        <f t="shared" si="240"/>
        <v>Ruim</v>
      </c>
      <c r="EP244" s="17" t="str">
        <f>IF(VLOOKUP(BP244,Fundamentus!A:U,12,FALSE)&lt;2,"Subvalorizada",IF(VLOOKUP(BP244,Fundamentus!A:U,12,FALSE)&lt;6,"Muita barata",IF(VLOOKUP(BP244,Fundamentus!A:U,12,FALSE)&lt;6,"Barata",IF(VLOOKUP(BP244,Fundamentus!A:U,12,FALSE)&lt;8,"Atrativa",IF(VLOOKUP(BP244,Fundamentus!A:U,12,FALSE)&gt;8,"Supervalorizada","n/a")))))</f>
        <v>Subvalorizada</v>
      </c>
      <c r="ER244" s="17" t="str">
        <f>IF(VLOOKUP(BP244,Fundamentus!A:U,17,FALSE)&lt;0.1,"Fraco retorno",IF(VLOOKUP(BP244,Fundamentus!A:U,17,FALSE)&gt;0.1,"Bom retorno","n/a"))</f>
        <v>Bom retorno</v>
      </c>
      <c r="ES244" s="17" t="str">
        <f>IF(VLOOKUP(BP244,Fundamentus!A:U,16,FALSE)&lt;0.1,"Ineficiente",IF(VLOOKUP(BP244,Fundamentus!A:U,16,FALSE)&gt;0.1,"Eficiente","n/a"))</f>
        <v>Ineficiente</v>
      </c>
      <c r="ET244" s="33" t="str">
        <f>IF(VLOOKUP(BP244,Fundamentus!A:U,16,FALSE)&lt;0.1,"Oper. Ineficiente",IF(VLOOKUP(BP244,Fundamentus!A:U,16,FALSE)&gt;0.1,"Oper.Eficiente","n/a"))</f>
        <v>Oper. Ineficiente</v>
      </c>
      <c r="EU244" s="34">
        <f>VLOOKUP(BP244,Fundamentus!A:U,14,FALSE)</f>
        <v>-1.6592</v>
      </c>
      <c r="EV244" s="17" t="str">
        <f>IF(VLOOKUP(BP244,Fundamentus!A:U,21,FALSE)&lt;0,"Negativo",IF(VLOOKUP(BP244,Fundamentus!A:U,21,FALSE)&lt;0.05,"Fraco",IF(VLOOKUP(BP244,Fundamentus!A:U,21,FALSE)&lt;0.1,"Bom",IF(VLOOKUP(BP244,Fundamentus!A:U,21,FALSE)&gt;0.1,"Muito bom","n/a"))))</f>
        <v>Muito bom</v>
      </c>
      <c r="EX244" s="29" t="str">
        <f>IF(VLOOKUP(BP244,Fundamentus!A:U,15,FALSE)&gt;1,"Bom",IF(VLOOKUP(BP244,Fundamentus!A:U,15,FALSE)&lt;1,"Ruim","n/a"))</f>
        <v>Ruim</v>
      </c>
      <c r="EY244" s="17" t="str">
        <f>IF(VLOOKUP(BP244,Fundamentus!A:U,20,FALSE)&lt;0.5,"Baixa",IF(VLOOKUP(BP244,Fundamentus!A:U,20,FALSE)&lt;1,"Moderada",IF(VLOOKUP(BP244,Fundamentus!A:U,20,FALSE)&lt;2,"Alerta",IF(VLOOKUP(BP244,Fundamentus!A:U,20,FALSE)&gt;2,"Alta","n/a"))))</f>
        <v>Baixa</v>
      </c>
    </row>
    <row r="245" spans="1:155" s="2" customFormat="1" ht="11.25" x14ac:dyDescent="0.2">
      <c r="A245" s="4">
        <v>3.85</v>
      </c>
      <c r="B245" s="4">
        <v>4.0999999999999996</v>
      </c>
      <c r="C245" s="4">
        <v>4.51</v>
      </c>
      <c r="D245" s="4">
        <v>4.25</v>
      </c>
      <c r="E245" s="4">
        <v>3.98</v>
      </c>
      <c r="F245" s="4">
        <v>3.89</v>
      </c>
      <c r="G245" s="4">
        <v>3.75</v>
      </c>
      <c r="H245" s="4">
        <v>3.67</v>
      </c>
      <c r="I245" s="4">
        <v>3.82</v>
      </c>
      <c r="J245" s="4">
        <v>3.95</v>
      </c>
      <c r="K245" s="4">
        <v>4.08</v>
      </c>
      <c r="L245" s="4">
        <v>3.89</v>
      </c>
      <c r="M245" s="4">
        <v>4.18</v>
      </c>
      <c r="N245" s="4">
        <v>4.3</v>
      </c>
      <c r="O245" s="4">
        <v>4.43</v>
      </c>
      <c r="P245" s="4">
        <v>4.2699999999999996</v>
      </c>
      <c r="Q245" s="4">
        <v>4.49</v>
      </c>
      <c r="R245" s="4">
        <v>4.24</v>
      </c>
      <c r="S245" s="4">
        <v>4.4800000000000004</v>
      </c>
      <c r="T245" s="4">
        <v>4.5999999999999996</v>
      </c>
      <c r="U245" s="4">
        <v>4.33</v>
      </c>
      <c r="V245" s="4">
        <v>4</v>
      </c>
      <c r="W245" s="4">
        <v>4.0199999999999996</v>
      </c>
      <c r="X245" s="4">
        <v>3.87</v>
      </c>
      <c r="Y245" s="4">
        <v>3.53</v>
      </c>
      <c r="Z245" s="4">
        <v>3.64</v>
      </c>
      <c r="AA245" s="4">
        <v>3.33</v>
      </c>
      <c r="AB245" s="4">
        <v>3.18</v>
      </c>
      <c r="AC245" s="4">
        <v>3.17</v>
      </c>
      <c r="AD245" s="4">
        <v>2.98</v>
      </c>
      <c r="AE245" s="4">
        <v>2.7</v>
      </c>
      <c r="AF245" s="4">
        <v>2.4700000000000002</v>
      </c>
      <c r="AG245" s="4">
        <v>2.61</v>
      </c>
      <c r="AH245" s="4">
        <v>2.25</v>
      </c>
      <c r="AI245" s="4">
        <v>2.21</v>
      </c>
      <c r="AJ245" s="4">
        <v>2.1</v>
      </c>
      <c r="AK245" s="4">
        <v>2.2000000000000002</v>
      </c>
      <c r="AL245" s="4">
        <v>2.2400000000000002</v>
      </c>
      <c r="AM245" s="4">
        <v>2.29</v>
      </c>
      <c r="AN245" s="4">
        <v>2.42</v>
      </c>
      <c r="AO245" s="4">
        <v>2.33</v>
      </c>
      <c r="AP245" s="4">
        <v>2.5099999999999998</v>
      </c>
      <c r="AQ245" s="4">
        <v>2.36</v>
      </c>
      <c r="AR245" s="4">
        <v>2.11</v>
      </c>
      <c r="AS245" s="4">
        <v>2.17</v>
      </c>
      <c r="AT245" s="4">
        <v>2.1800000000000002</v>
      </c>
      <c r="AU245" s="4">
        <v>2.21</v>
      </c>
      <c r="AV245" s="4">
        <v>2.2999999999999998</v>
      </c>
      <c r="AW245" s="4">
        <v>2.13</v>
      </c>
      <c r="AX245" s="4">
        <v>2.2400000000000002</v>
      </c>
      <c r="AY245" s="12">
        <v>2.16</v>
      </c>
      <c r="AZ245" s="12">
        <v>2.41</v>
      </c>
      <c r="BA245" s="12">
        <v>2.3199999999999998</v>
      </c>
      <c r="BB245" s="15">
        <v>2.46</v>
      </c>
      <c r="BC245" s="52">
        <v>42.3</v>
      </c>
      <c r="BD245" s="52">
        <v>42.6</v>
      </c>
      <c r="BE245" s="52">
        <v>42.9</v>
      </c>
      <c r="BF245" s="52">
        <v>39.909999999999997</v>
      </c>
      <c r="BG245" s="67">
        <v>38.49</v>
      </c>
      <c r="BH245" s="52">
        <v>37.42</v>
      </c>
      <c r="BI245" s="52">
        <v>36.270000000000003</v>
      </c>
      <c r="BJ245" s="52">
        <v>35.61</v>
      </c>
      <c r="BK245" s="52">
        <v>32.32</v>
      </c>
      <c r="BL245" s="52">
        <v>32.19</v>
      </c>
      <c r="BM245" s="52">
        <v>32.58</v>
      </c>
      <c r="BN245" s="52">
        <v>32.659999999999997</v>
      </c>
      <c r="BO245" s="52" cm="1">
        <f t="array" aca="1" ref="BO245" ca="1">_FV(EC245,"Preço")</f>
        <v>32.659999999999997</v>
      </c>
      <c r="BP245" s="69" t="s">
        <v>241</v>
      </c>
      <c r="BQ245" s="36" cm="1">
        <f t="array" aca="1" ref="BQ245" ca="1">_FV(EC245,"Média de volume",TRUE)</f>
        <v>3228450</v>
      </c>
      <c r="BR245" s="36">
        <v>3112600</v>
      </c>
      <c r="BS245" s="36" cm="1">
        <f t="array" aca="1" ref="BS245" ca="1">_FV(EC245,"Volume")</f>
        <v>3112600</v>
      </c>
      <c r="BT245" s="24" cm="1">
        <f t="array" aca="1" ref="BT245" ca="1">_FV(EC245,"Beta")</f>
        <v>1.6331</v>
      </c>
      <c r="BU245" s="71" cm="1">
        <f t="array" aca="1" ref="BU245" ca="1">_FV(EC245,"Variação (%)",TRUE)</f>
        <v>-1.2397999999999999E-2</v>
      </c>
      <c r="BW245" s="17" cm="1">
        <f t="array" aca="1" ref="BW245" ca="1">_FV(EC245,"Baixo")</f>
        <v>32.53</v>
      </c>
      <c r="BX245" s="17" cm="1">
        <f t="array" aca="1" ref="BX245" ca="1">_FV(EC245,"Alto")</f>
        <v>33.96</v>
      </c>
      <c r="BY245" s="24"/>
      <c r="BZ245" s="63" t="e">
        <f ca="1">SQRT(22.5*(BO245/VLOOKUP(BP245,Fundamentus!A:U,3,FALSE))*(BO245/VLOOKUP(BP245,Fundamentus!A:U,4,FALSE)))</f>
        <v>#NUM!</v>
      </c>
      <c r="CB245" s="62">
        <f t="shared" ca="1" si="241"/>
        <v>0</v>
      </c>
      <c r="CC245" s="8"/>
      <c r="CD245" s="61">
        <f t="shared" si="242"/>
        <v>2.1</v>
      </c>
      <c r="CE245" s="61">
        <f t="shared" si="243"/>
        <v>42.9</v>
      </c>
      <c r="CF245" s="61">
        <f t="shared" si="244"/>
        <v>9.3850000000000016</v>
      </c>
      <c r="CG245" s="14"/>
      <c r="CH245" s="35">
        <f t="shared" si="227"/>
        <v>30.229268854408922</v>
      </c>
      <c r="CI245" s="15">
        <f t="shared" si="245"/>
        <v>32.789999999999964</v>
      </c>
      <c r="CJ245" s="35">
        <f t="shared" si="228"/>
        <v>35.350731145591006</v>
      </c>
      <c r="CL245" s="14"/>
      <c r="CM245" s="17">
        <f t="shared" si="229"/>
        <v>-31.926666666666662</v>
      </c>
      <c r="CN245" s="17">
        <f t="shared" si="230"/>
        <v>-14.91333333333333</v>
      </c>
      <c r="CO245" s="17">
        <f t="shared" si="231"/>
        <v>8.8733333333333348</v>
      </c>
      <c r="CP245" s="38">
        <f t="shared" si="246"/>
        <v>25.886666666666667</v>
      </c>
      <c r="CQ245" s="17">
        <f t="shared" si="232"/>
        <v>49.673333333333332</v>
      </c>
      <c r="CR245" s="17">
        <f t="shared" si="233"/>
        <v>66.686666666666667</v>
      </c>
      <c r="CS245" s="17">
        <f t="shared" si="234"/>
        <v>90.473333333333329</v>
      </c>
      <c r="CT245" s="2" cm="1">
        <f t="array" aca="1" ref="CT245" ca="1">MAX(_xlfn._xlws.FILTER(CM245:CS245,CM245:CS245&lt;BO245))</f>
        <v>25.886666666666667</v>
      </c>
      <c r="CU245" s="2" cm="1">
        <f t="array" aca="1" ref="CU245" ca="1">MIN(_xlfn._xlws.FILTER($CM245:$CS245,$CM245:$CS245&gt;BO245))</f>
        <v>49.673333333333332</v>
      </c>
      <c r="CV245" s="16">
        <f t="shared" ca="1" si="248"/>
        <v>0.91887715683749671</v>
      </c>
      <c r="CW245" s="20">
        <f t="shared" ca="1" si="249"/>
        <v>-0.45943857841874836</v>
      </c>
      <c r="CX245" s="20">
        <f t="shared" ca="1" si="250"/>
        <v>-0.30629238561249889</v>
      </c>
      <c r="CY245" s="20">
        <f t="shared" ca="1" si="251"/>
        <v>-0.18377543136749935</v>
      </c>
      <c r="CZ245" s="20">
        <f t="shared" ca="1" si="252"/>
        <v>-0.10209746187083296</v>
      </c>
      <c r="DA245" s="20">
        <f t="shared" ca="1" si="253"/>
        <v>-5.4051597461029222E-2</v>
      </c>
      <c r="DB245" s="20">
        <f t="shared" ca="1" si="254"/>
        <v>-2.784476232840899E-2</v>
      </c>
      <c r="DC245" s="20">
        <f t="shared" ca="1" si="255"/>
        <v>-1.4136571643653796E-2</v>
      </c>
      <c r="DD245" s="21">
        <f t="shared" ca="1" si="256"/>
        <v>1.4136571643653796E-2</v>
      </c>
      <c r="DE245" s="21">
        <f t="shared" ca="1" si="257"/>
        <v>2.784476232840899E-2</v>
      </c>
      <c r="DF245" s="21">
        <f t="shared" ca="1" si="258"/>
        <v>5.4051597461029222E-2</v>
      </c>
      <c r="DG245" s="21">
        <f t="shared" ca="1" si="259"/>
        <v>0.10209746187083296</v>
      </c>
      <c r="DH245" s="21">
        <f t="shared" ca="1" si="260"/>
        <v>0.18377543136749935</v>
      </c>
      <c r="DI245" s="21">
        <f t="shared" ca="1" si="261"/>
        <v>0.30629238561249889</v>
      </c>
      <c r="DJ245" s="21">
        <f t="shared" ca="1" si="262"/>
        <v>0.45943857841874836</v>
      </c>
      <c r="DL245" s="16" cm="1">
        <f t="array" aca="1" ref="DL245" ca="1">MAX(_xlfn._xlws.FILTER(CW245:DJ245,CW245:DJ245&lt;BU245))</f>
        <v>-1.4136571643653796E-2</v>
      </c>
      <c r="DM245" s="16" cm="1">
        <f t="array" aca="1" ref="DM245" ca="1">MIN(_xlfn._xlws.FILTER(CW245:DJ245,CW245:DJ245&gt;BU245))</f>
        <v>1.4136571643653796E-2</v>
      </c>
      <c r="DN245" s="2" cm="1">
        <f t="array" aca="1" ref="DN245" ca="1">_FV(EC245,"Fechamento anterior",TRUE)</f>
        <v>33.07</v>
      </c>
      <c r="DO245" s="28">
        <f t="shared" ca="1" si="235"/>
        <v>6.1493972223609583E-2</v>
      </c>
      <c r="DP245" s="15">
        <f t="shared" ca="1" si="263"/>
        <v>32.602503575744372</v>
      </c>
      <c r="DQ245" s="15">
        <f t="shared" ca="1" si="264"/>
        <v>33.537496424255629</v>
      </c>
      <c r="DR245" s="9"/>
      <c r="DS245" s="9"/>
      <c r="DT245" s="9"/>
      <c r="DU245" s="89">
        <v>1.3700821784770481E-2</v>
      </c>
      <c r="DV245" s="89">
        <f t="shared" ca="1" si="236"/>
        <v>2.8273143287307591E-2</v>
      </c>
      <c r="DW245" s="72">
        <f t="shared" ca="1" si="237"/>
        <v>-5.0766750825753618E-2</v>
      </c>
      <c r="DX245" s="37"/>
      <c r="DY245" s="35">
        <f t="shared" si="247"/>
        <v>1.2803655727955203</v>
      </c>
      <c r="DZ245" s="56"/>
      <c r="EA245" s="56"/>
      <c r="EC245" s="2" t="e" vm="247">
        <v>#VALUE!</v>
      </c>
      <c r="EE245" s="10" cm="1">
        <f t="array" aca="1" ref="EE245" ca="1">_FV(EC245,"Ações em circulação",TRUE)</f>
        <v>502630900</v>
      </c>
      <c r="EF245" s="18">
        <f>VLOOKUP(BP245,Fundamentus!A:U,5,FALSE)</f>
        <v>0.55000000000000004</v>
      </c>
      <c r="EG245" s="2">
        <f t="shared" ca="1" si="238"/>
        <v>29847136716.363632</v>
      </c>
      <c r="EH245" s="17">
        <v>-543217888.23781812</v>
      </c>
      <c r="EI245" s="17">
        <f t="shared" ca="1" si="239"/>
        <v>-543217888.23781812</v>
      </c>
      <c r="EK245" s="16">
        <f t="shared" ca="1" si="226"/>
        <v>0</v>
      </c>
      <c r="EL245" s="32" t="str">
        <f>IF(VLOOKUP(BP245,Fundamentus!A:U,3,FALSE)&lt;15,"Bom",IF(VLOOKUP(BP245,Fundamentus!A:U,3,FALSE)&gt;15,"Ruim","n/a"))</f>
        <v>Bom</v>
      </c>
      <c r="EM245" s="28" t="str">
        <f>IF(VLOOKUP(BP245,Fundamentus!A:U,4,FALSE)&lt;1,"Baixo",IF(VLOOKUP(BP245,Fundamentus!A:U,4,FALSE)&lt;1.5,"Moderado",IF(VLOOKUP(BP245,Fundamentus!A:U,4,FALSE)&gt;1.5,"Alto","n/a")))</f>
        <v>Baixo</v>
      </c>
      <c r="EN245" s="17" t="str">
        <f>IF(VLOOKUP(BP245,Fundamentus!A:U,8,FALSE)&lt;0,"Risco elevado",IF(VLOOKUP(BP245,Fundamentus!A:U,8,FALSE)&lt;1,"Saudável",IF(VLOOKUP(BP245,Fundamentus!A:U,8,FALSE)&lt;3,"Estável",IF(VLOOKUP(BP245,Fundamentus!A:U,8,FALSE)&gt;3,"Alerta","n/a"))))</f>
        <v>Estável</v>
      </c>
      <c r="EO245" s="28" t="str">
        <f t="shared" si="240"/>
        <v>Ruim</v>
      </c>
      <c r="EP245" s="17" t="str">
        <f>IF(VLOOKUP(BP245,Fundamentus!A:U,12,FALSE)&lt;2,"Subvalorizada",IF(VLOOKUP(BP245,Fundamentus!A:U,12,FALSE)&lt;6,"Muita barata",IF(VLOOKUP(BP245,Fundamentus!A:U,12,FALSE)&lt;6,"Barata",IF(VLOOKUP(BP245,Fundamentus!A:U,12,FALSE)&lt;8,"Atrativa",IF(VLOOKUP(BP245,Fundamentus!A:U,12,FALSE)&gt;8,"Supervalorizada","n/a")))))</f>
        <v>Supervalorizada</v>
      </c>
      <c r="ER245" s="17" t="str">
        <f>IF(VLOOKUP(BP245,Fundamentus!A:U,17,FALSE)&lt;0.1,"Fraco retorno",IF(VLOOKUP(BP245,Fundamentus!A:U,17,FALSE)&gt;0.1,"Bom retorno","n/a"))</f>
        <v>Fraco retorno</v>
      </c>
      <c r="ES245" s="17" t="str">
        <f>IF(VLOOKUP(BP245,Fundamentus!A:U,16,FALSE)&lt;0.1,"Ineficiente",IF(VLOOKUP(BP245,Fundamentus!A:U,16,FALSE)&gt;0.1,"Eficiente","n/a"))</f>
        <v>Ineficiente</v>
      </c>
      <c r="ET245" s="33" t="str">
        <f>IF(VLOOKUP(BP245,Fundamentus!A:U,16,FALSE)&lt;0.1,"Oper. Ineficiente",IF(VLOOKUP(BP245,Fundamentus!A:U,16,FALSE)&gt;0.1,"Oper.Eficiente","n/a"))</f>
        <v>Oper. Ineficiente</v>
      </c>
      <c r="EU245" s="34">
        <f>VLOOKUP(BP245,Fundamentus!A:U,14,FALSE)</f>
        <v>-1.8200000000000001E-2</v>
      </c>
      <c r="EV245" s="17" t="str">
        <f>IF(VLOOKUP(BP245,Fundamentus!A:U,21,FALSE)&lt;0,"Negativo",IF(VLOOKUP(BP245,Fundamentus!A:U,21,FALSE)&lt;0.05,"Fraco",IF(VLOOKUP(BP245,Fundamentus!A:U,21,FALSE)&lt;0.1,"Bom",IF(VLOOKUP(BP245,Fundamentus!A:U,21,FALSE)&gt;0.1,"Muito bom","n/a"))))</f>
        <v>Muito bom</v>
      </c>
      <c r="EX245" s="29" t="str">
        <f>IF(VLOOKUP(BP245,Fundamentus!A:U,15,FALSE)&gt;1,"Bom",IF(VLOOKUP(BP245,Fundamentus!A:U,15,FALSE)&lt;1,"Ruim","n/a"))</f>
        <v>Bom</v>
      </c>
      <c r="EY245" s="17" t="str">
        <f>IF(VLOOKUP(BP245,Fundamentus!A:U,20,FALSE)&lt;0.5,"Baixa",IF(VLOOKUP(BP245,Fundamentus!A:U,20,FALSE)&lt;1,"Moderada",IF(VLOOKUP(BP245,Fundamentus!A:U,20,FALSE)&lt;2,"Alerta",IF(VLOOKUP(BP245,Fundamentus!A:U,20,FALSE)&gt;2,"Alta","n/a"))))</f>
        <v>Baixa</v>
      </c>
    </row>
    <row r="246" spans="1:155" s="2" customFormat="1" ht="11.25" x14ac:dyDescent="0.2">
      <c r="A246" s="4">
        <v>0.39</v>
      </c>
      <c r="B246" s="4">
        <v>0.38</v>
      </c>
      <c r="C246" s="4">
        <v>0.38</v>
      </c>
      <c r="D246" s="4">
        <v>0.34</v>
      </c>
      <c r="E246" s="4">
        <v>6.39</v>
      </c>
      <c r="F246" s="4">
        <v>6.9</v>
      </c>
      <c r="G246" s="4">
        <v>6.29</v>
      </c>
      <c r="H246" s="4">
        <v>5.15</v>
      </c>
      <c r="I246" s="4">
        <v>4.3899999999999997</v>
      </c>
      <c r="J246" s="4">
        <v>4.7</v>
      </c>
      <c r="K246" s="4">
        <v>4.6399999999999997</v>
      </c>
      <c r="L246" s="4">
        <v>4.18</v>
      </c>
      <c r="M246" s="4">
        <v>3.91</v>
      </c>
      <c r="N246" s="4">
        <v>4.18</v>
      </c>
      <c r="O246" s="4">
        <v>7.27</v>
      </c>
      <c r="P246" s="4">
        <v>5.36</v>
      </c>
      <c r="Q246" s="4">
        <v>6.1</v>
      </c>
      <c r="R246" s="4">
        <v>6.39</v>
      </c>
      <c r="S246" s="4">
        <v>5.77</v>
      </c>
      <c r="T246" s="4">
        <v>5.65</v>
      </c>
      <c r="U246" s="4">
        <v>4.6500000000000004</v>
      </c>
      <c r="V246" s="4">
        <v>4.55</v>
      </c>
      <c r="W246" s="4">
        <v>4.42</v>
      </c>
      <c r="X246" s="4">
        <v>4.49</v>
      </c>
      <c r="Y246" s="4">
        <v>4.84</v>
      </c>
      <c r="Z246" s="4">
        <v>3.99</v>
      </c>
      <c r="AA246" s="4">
        <v>3.77</v>
      </c>
      <c r="AB246" s="4">
        <v>3.74</v>
      </c>
      <c r="AC246" s="4">
        <v>3.37</v>
      </c>
      <c r="AD246" s="4">
        <v>3.53</v>
      </c>
      <c r="AE246" s="4">
        <v>3.55</v>
      </c>
      <c r="AF246" s="4">
        <v>3.23</v>
      </c>
      <c r="AG246" s="4">
        <v>2.89</v>
      </c>
      <c r="AH246" s="4">
        <v>2.2999999999999998</v>
      </c>
      <c r="AI246" s="4">
        <v>2.57</v>
      </c>
      <c r="AJ246" s="4">
        <v>2.7</v>
      </c>
      <c r="AK246" s="4">
        <v>2.65</v>
      </c>
      <c r="AL246" s="4">
        <v>3.32</v>
      </c>
      <c r="AM246" s="4">
        <v>2.67</v>
      </c>
      <c r="AN246" s="4">
        <v>2.65</v>
      </c>
      <c r="AO246" s="4">
        <v>2.41</v>
      </c>
      <c r="AP246" s="4">
        <v>2.31</v>
      </c>
      <c r="AQ246" s="4">
        <v>2.25</v>
      </c>
      <c r="AR246" s="4">
        <v>1.98</v>
      </c>
      <c r="AS246" s="4">
        <v>1.98</v>
      </c>
      <c r="AT246" s="4">
        <v>2.08</v>
      </c>
      <c r="AU246" s="4">
        <v>2.0699999999999998</v>
      </c>
      <c r="AV246" s="4">
        <v>2.0099999999999998</v>
      </c>
      <c r="AW246" s="4">
        <v>2.1</v>
      </c>
      <c r="AX246" s="4">
        <v>2.0099999999999998</v>
      </c>
      <c r="AY246" s="12">
        <v>2.04</v>
      </c>
      <c r="AZ246" s="12">
        <v>2.02</v>
      </c>
      <c r="BA246" s="12">
        <v>1.91</v>
      </c>
      <c r="BB246" s="15">
        <v>2.0099999999999998</v>
      </c>
      <c r="BC246" s="52">
        <v>1.98</v>
      </c>
      <c r="BD246" s="52">
        <v>1.96</v>
      </c>
      <c r="BE246" s="52">
        <v>1.77</v>
      </c>
      <c r="BF246" s="52">
        <v>1.72</v>
      </c>
      <c r="BG246" s="67">
        <v>1.57</v>
      </c>
      <c r="BH246" s="52">
        <v>1.2</v>
      </c>
      <c r="BI246" s="52">
        <v>0.95</v>
      </c>
      <c r="BJ246" s="52">
        <v>1.1200000000000001</v>
      </c>
      <c r="BK246" s="52">
        <v>1.08</v>
      </c>
      <c r="BL246" s="52">
        <v>0.96</v>
      </c>
      <c r="BM246" s="52">
        <v>0.99</v>
      </c>
      <c r="BN246" s="52">
        <v>0.97</v>
      </c>
      <c r="BO246" s="52" cm="1">
        <f t="array" aca="1" ref="BO246" ca="1">_FV(EC246,"Preço")</f>
        <v>0.97</v>
      </c>
      <c r="BP246" s="69" t="s">
        <v>242</v>
      </c>
      <c r="BQ246" s="36" cm="1">
        <f t="array" aca="1" ref="BQ246" ca="1">_FV(EC246,"Média de volume",TRUE)</f>
        <v>157170</v>
      </c>
      <c r="BR246" s="36">
        <v>160900</v>
      </c>
      <c r="BS246" s="36" cm="1">
        <f t="array" aca="1" ref="BS246" ca="1">_FV(EC246,"Volume")</f>
        <v>160900</v>
      </c>
      <c r="BT246" s="24" cm="1">
        <f t="array" aca="1" ref="BT246" ca="1">_FV(EC246,"Beta")</f>
        <v>1.7874000000000001</v>
      </c>
      <c r="BU246" s="71" cm="1">
        <f t="array" aca="1" ref="BU246" ca="1">_FV(EC246,"Variação (%)",TRUE)</f>
        <v>0</v>
      </c>
      <c r="BW246" s="17" cm="1">
        <f t="array" aca="1" ref="BW246" ca="1">_FV(EC246,"Baixo")</f>
        <v>0.96</v>
      </c>
      <c r="BX246" s="17" cm="1">
        <f t="array" aca="1" ref="BX246" ca="1">_FV(EC246,"Alto")</f>
        <v>0.99</v>
      </c>
      <c r="BY246" s="24"/>
      <c r="BZ246" s="63">
        <f ca="1">SQRT(22.5*(BO246/VLOOKUP(BP246,Fundamentus!A:U,3,FALSE))*(BO246/VLOOKUP(BP246,Fundamentus!A:U,4,FALSE)))</f>
        <v>77.773021396515489</v>
      </c>
      <c r="CB246" s="62">
        <f t="shared" ca="1" si="241"/>
        <v>0</v>
      </c>
      <c r="CC246" s="8"/>
      <c r="CD246" s="61">
        <f t="shared" si="242"/>
        <v>0.34</v>
      </c>
      <c r="CE246" s="61">
        <f t="shared" si="243"/>
        <v>7.27</v>
      </c>
      <c r="CF246" s="61">
        <f t="shared" si="244"/>
        <v>3.092272727272726</v>
      </c>
      <c r="CG246" s="14"/>
      <c r="CH246" s="35">
        <f t="shared" si="227"/>
        <v>0.79687506097560712</v>
      </c>
      <c r="CI246" s="15">
        <f t="shared" si="245"/>
        <v>0.92499999999998295</v>
      </c>
      <c r="CJ246" s="35">
        <f t="shared" si="228"/>
        <v>1.0531249390243589</v>
      </c>
      <c r="CL246" s="14"/>
      <c r="CM246" s="17">
        <f t="shared" si="229"/>
        <v>-8.48</v>
      </c>
      <c r="CN246" s="17">
        <f t="shared" si="230"/>
        <v>-4.07</v>
      </c>
      <c r="CO246" s="17">
        <f t="shared" si="231"/>
        <v>-1.5499999999999998</v>
      </c>
      <c r="CP246" s="38">
        <f t="shared" si="246"/>
        <v>2.86</v>
      </c>
      <c r="CQ246" s="17">
        <f t="shared" si="232"/>
        <v>5.38</v>
      </c>
      <c r="CR246" s="17">
        <f t="shared" si="233"/>
        <v>9.7899999999999991</v>
      </c>
      <c r="CS246" s="17">
        <f t="shared" si="234"/>
        <v>12.309999999999999</v>
      </c>
      <c r="CT246" s="2" cm="1">
        <f t="array" aca="1" ref="CT246" ca="1">MAX(_xlfn._xlws.FILTER(CM246:CS246,CM246:CS246&lt;BO246))</f>
        <v>-1.5499999999999998</v>
      </c>
      <c r="CU246" s="2" cm="1">
        <f t="array" aca="1" ref="CU246" ca="1">MIN(_xlfn._xlws.FILTER($CM246:$CS246,$CM246:$CS246&gt;BO246))</f>
        <v>2.86</v>
      </c>
      <c r="CV246" s="16">
        <f t="shared" ca="1" si="248"/>
        <v>-2.8451612903225807</v>
      </c>
      <c r="CW246" s="20">
        <f t="shared" ca="1" si="249"/>
        <v>1.4225806451612903</v>
      </c>
      <c r="CX246" s="20">
        <f t="shared" ca="1" si="250"/>
        <v>0.94838709677419353</v>
      </c>
      <c r="CY246" s="20">
        <f t="shared" ca="1" si="251"/>
        <v>0.56903225806451618</v>
      </c>
      <c r="CZ246" s="20">
        <f t="shared" ca="1" si="252"/>
        <v>0.31612903225806455</v>
      </c>
      <c r="DA246" s="20">
        <f t="shared" ca="1" si="253"/>
        <v>0.16736242884250474</v>
      </c>
      <c r="DB246" s="20">
        <f t="shared" ca="1" si="254"/>
        <v>8.6217008797653955E-2</v>
      </c>
      <c r="DC246" s="20">
        <f t="shared" ca="1" si="255"/>
        <v>4.3771712158808936E-2</v>
      </c>
      <c r="DD246" s="21">
        <f t="shared" ca="1" si="256"/>
        <v>-4.3771712158808936E-2</v>
      </c>
      <c r="DE246" s="21">
        <f t="shared" ca="1" si="257"/>
        <v>-8.6217008797653955E-2</v>
      </c>
      <c r="DF246" s="21">
        <f t="shared" ca="1" si="258"/>
        <v>-0.16736242884250474</v>
      </c>
      <c r="DG246" s="21">
        <f t="shared" ca="1" si="259"/>
        <v>-0.31612903225806455</v>
      </c>
      <c r="DH246" s="21">
        <f t="shared" ca="1" si="260"/>
        <v>-0.56903225806451618</v>
      </c>
      <c r="DI246" s="21">
        <f t="shared" ca="1" si="261"/>
        <v>-0.94838709677419353</v>
      </c>
      <c r="DJ246" s="21">
        <f t="shared" ca="1" si="262"/>
        <v>-1.4225806451612903</v>
      </c>
      <c r="DL246" s="16" cm="1">
        <f t="array" aca="1" ref="DL246" ca="1">MAX(_xlfn._xlws.FILTER(CW246:DJ246,CW246:DJ246&lt;BU246))</f>
        <v>-4.3771712158808936E-2</v>
      </c>
      <c r="DM246" s="16" cm="1">
        <f t="array" aca="1" ref="DM246" ca="1">MIN(_xlfn._xlws.FILTER(CW246:DJ246,CW246:DJ246&gt;BU246))</f>
        <v>4.3771712158808936E-2</v>
      </c>
      <c r="DN246" s="2" cm="1">
        <f t="array" aca="1" ref="DN246" ca="1">_FV(EC246,"Fechamento anterior",TRUE)</f>
        <v>0.97</v>
      </c>
      <c r="DO246" s="28">
        <f t="shared" ca="1" si="235"/>
        <v>0.5</v>
      </c>
      <c r="DP246" s="15">
        <f t="shared" ca="1" si="263"/>
        <v>0.92754143920595533</v>
      </c>
      <c r="DQ246" s="15">
        <f t="shared" ca="1" si="264"/>
        <v>1.0124585607940446</v>
      </c>
      <c r="DR246" s="9"/>
      <c r="DS246" s="9"/>
      <c r="DT246" s="9"/>
      <c r="DU246" s="89">
        <v>8.7234393015977629E-2</v>
      </c>
      <c r="DV246" s="89">
        <f t="shared" ca="1" si="236"/>
        <v>8.7543424317617871E-2</v>
      </c>
      <c r="DW246" s="72">
        <f t="shared" ca="1" si="237"/>
        <v>0.35121967934326787</v>
      </c>
      <c r="DX246" s="37"/>
      <c r="DY246" s="35">
        <f t="shared" si="247"/>
        <v>6.4062469512187928E-2</v>
      </c>
      <c r="DZ246" s="56"/>
      <c r="EA246" s="56"/>
      <c r="EC246" s="2" t="e" vm="248">
        <v>#VALUE!</v>
      </c>
      <c r="EE246" s="10" cm="1">
        <f t="array" aca="1" ref="EE246" ca="1">_FV(EC246,"Ações em circulação",TRUE)</f>
        <v>50311580</v>
      </c>
      <c r="EF246" s="18">
        <f>VLOOKUP(BP246,Fundamentus!A:U,5,FALSE)</f>
        <v>6.5000000000000002E-2</v>
      </c>
      <c r="EG246" s="2">
        <f t="shared" ca="1" si="238"/>
        <v>750803578.46153843</v>
      </c>
      <c r="EH246" s="17">
        <v>-1248135868.8344615</v>
      </c>
      <c r="EI246" s="17">
        <f t="shared" ca="1" si="239"/>
        <v>-1248135868.8344615</v>
      </c>
      <c r="EK246" s="16">
        <f t="shared" ca="1" si="226"/>
        <v>0</v>
      </c>
      <c r="EL246" s="32" t="str">
        <f>IF(VLOOKUP(BP246,Fundamentus!A:U,3,FALSE)&lt;15,"Bom",IF(VLOOKUP(BP246,Fundamentus!A:U,3,FALSE)&gt;15,"Ruim","n/a"))</f>
        <v>Bom</v>
      </c>
      <c r="EM246" s="28" t="str">
        <f>IF(VLOOKUP(BP246,Fundamentus!A:U,4,FALSE)&lt;1,"Baixo",IF(VLOOKUP(BP246,Fundamentus!A:U,4,FALSE)&lt;1.5,"Moderado",IF(VLOOKUP(BP246,Fundamentus!A:U,4,FALSE)&gt;1.5,"Alto","n/a")))</f>
        <v>Baixo</v>
      </c>
      <c r="EN246" s="17" t="str">
        <f>IF(VLOOKUP(BP246,Fundamentus!A:U,8,FALSE)&lt;0,"Risco elevado",IF(VLOOKUP(BP246,Fundamentus!A:U,8,FALSE)&lt;1,"Saudável",IF(VLOOKUP(BP246,Fundamentus!A:U,8,FALSE)&lt;3,"Estável",IF(VLOOKUP(BP246,Fundamentus!A:U,8,FALSE)&gt;3,"Alerta","n/a"))))</f>
        <v>Risco elevado</v>
      </c>
      <c r="EO246" s="28" t="str">
        <f t="shared" si="240"/>
        <v>Ruim</v>
      </c>
      <c r="EP246" s="17" t="str">
        <f>IF(VLOOKUP(BP246,Fundamentus!A:U,12,FALSE)&lt;2,"Subvalorizada",IF(VLOOKUP(BP246,Fundamentus!A:U,12,FALSE)&lt;6,"Muita barata",IF(VLOOKUP(BP246,Fundamentus!A:U,12,FALSE)&lt;6,"Barata",IF(VLOOKUP(BP246,Fundamentus!A:U,12,FALSE)&lt;8,"Atrativa",IF(VLOOKUP(BP246,Fundamentus!A:U,12,FALSE)&gt;8,"Supervalorizada","n/a")))))</f>
        <v>Subvalorizada</v>
      </c>
      <c r="ER246" s="17" t="str">
        <f>IF(VLOOKUP(BP246,Fundamentus!A:U,17,FALSE)&lt;0.1,"Fraco retorno",IF(VLOOKUP(BP246,Fundamentus!A:U,17,FALSE)&gt;0.1,"Bom retorno","n/a"))</f>
        <v>Bom retorno</v>
      </c>
      <c r="ES246" s="17" t="str">
        <f>IF(VLOOKUP(BP246,Fundamentus!A:U,16,FALSE)&lt;0.1,"Ineficiente",IF(VLOOKUP(BP246,Fundamentus!A:U,16,FALSE)&gt;0.1,"Eficiente","n/a"))</f>
        <v>Ineficiente</v>
      </c>
      <c r="ET246" s="33" t="str">
        <f>IF(VLOOKUP(BP246,Fundamentus!A:U,16,FALSE)&lt;0.1,"Oper. Ineficiente",IF(VLOOKUP(BP246,Fundamentus!A:U,16,FALSE)&gt;0.1,"Oper.Eficiente","n/a"))</f>
        <v>Oper. Ineficiente</v>
      </c>
      <c r="EU246" s="34">
        <f>VLOOKUP(BP246,Fundamentus!A:U,14,FALSE)</f>
        <v>-1.6624000000000001</v>
      </c>
      <c r="EV246" s="17" t="str">
        <f>IF(VLOOKUP(BP246,Fundamentus!A:U,21,FALSE)&lt;0,"Negativo",IF(VLOOKUP(BP246,Fundamentus!A:U,21,FALSE)&lt;0.05,"Fraco",IF(VLOOKUP(BP246,Fundamentus!A:U,21,FALSE)&lt;0.1,"Bom",IF(VLOOKUP(BP246,Fundamentus!A:U,21,FALSE)&gt;0.1,"Muito bom","n/a"))))</f>
        <v>Negativo</v>
      </c>
      <c r="EX246" s="29" t="str">
        <f>IF(VLOOKUP(BP246,Fundamentus!A:U,15,FALSE)&gt;1,"Bom",IF(VLOOKUP(BP246,Fundamentus!A:U,15,FALSE)&lt;1,"Ruim","n/a"))</f>
        <v>Ruim</v>
      </c>
      <c r="EY246" s="17" t="str">
        <f>IF(VLOOKUP(BP246,Fundamentus!A:U,20,FALSE)&lt;0.5,"Baixa",IF(VLOOKUP(BP246,Fundamentus!A:U,20,FALSE)&lt;1,"Moderada",IF(VLOOKUP(BP246,Fundamentus!A:U,20,FALSE)&lt;2,"Alerta",IF(VLOOKUP(BP246,Fundamentus!A:U,20,FALSE)&gt;2,"Alta","n/a"))))</f>
        <v>Baixa</v>
      </c>
    </row>
    <row r="247" spans="1:155" s="2" customFormat="1" ht="11.25" x14ac:dyDescent="0.2">
      <c r="A247" s="4">
        <v>3.9</v>
      </c>
      <c r="B247" s="4">
        <v>3.37</v>
      </c>
      <c r="C247" s="4">
        <v>3.33</v>
      </c>
      <c r="D247" s="4">
        <v>2.99</v>
      </c>
      <c r="E247" s="4">
        <v>3.15</v>
      </c>
      <c r="F247" s="4">
        <v>3.4</v>
      </c>
      <c r="G247" s="4">
        <v>3.55</v>
      </c>
      <c r="H247" s="4">
        <v>3.7</v>
      </c>
      <c r="I247" s="4">
        <v>3.74</v>
      </c>
      <c r="J247" s="4">
        <v>3.91</v>
      </c>
      <c r="K247" s="4">
        <v>3.5</v>
      </c>
      <c r="L247" s="4">
        <v>3.39</v>
      </c>
      <c r="M247" s="4">
        <v>3.5</v>
      </c>
      <c r="N247" s="4">
        <v>3.21</v>
      </c>
      <c r="O247" s="4">
        <v>3.4</v>
      </c>
      <c r="P247" s="4">
        <v>3.4</v>
      </c>
      <c r="Q247" s="4">
        <v>3.47</v>
      </c>
      <c r="R247" s="4">
        <v>3.05</v>
      </c>
      <c r="S247" s="4">
        <v>3.13</v>
      </c>
      <c r="T247" s="4">
        <v>3.05</v>
      </c>
      <c r="U247" s="4">
        <v>2.65</v>
      </c>
      <c r="V247" s="4">
        <v>2.65</v>
      </c>
      <c r="W247" s="4">
        <v>2.66</v>
      </c>
      <c r="X247" s="4">
        <v>2.4900000000000002</v>
      </c>
      <c r="Y247" s="4">
        <v>2.44</v>
      </c>
      <c r="Z247" s="4">
        <v>2.5</v>
      </c>
      <c r="AA247" s="4">
        <v>2.2999999999999998</v>
      </c>
      <c r="AB247" s="4">
        <v>2.62</v>
      </c>
      <c r="AC247" s="4">
        <v>2.8</v>
      </c>
      <c r="AD247" s="4">
        <v>2.93</v>
      </c>
      <c r="AE247" s="4">
        <v>2.99</v>
      </c>
      <c r="AF247" s="4">
        <v>2.57</v>
      </c>
      <c r="AG247" s="4">
        <v>2.64</v>
      </c>
      <c r="AH247" s="4">
        <v>2.2999999999999998</v>
      </c>
      <c r="AI247" s="4">
        <v>2.27</v>
      </c>
      <c r="AJ247" s="4">
        <v>2.15</v>
      </c>
      <c r="AK247" s="4">
        <v>2.61</v>
      </c>
      <c r="AL247" s="4">
        <v>2.6</v>
      </c>
      <c r="AM247" s="4">
        <v>3.05</v>
      </c>
      <c r="AN247" s="4">
        <v>2.91</v>
      </c>
      <c r="AO247" s="4">
        <v>2.59</v>
      </c>
      <c r="AP247" s="4">
        <v>2.5</v>
      </c>
      <c r="AQ247" s="4">
        <v>2.35</v>
      </c>
      <c r="AR247" s="4">
        <v>2.66</v>
      </c>
      <c r="AS247" s="4">
        <v>2.8</v>
      </c>
      <c r="AT247" s="4">
        <v>2.8</v>
      </c>
      <c r="AU247" s="4">
        <v>2.5449999999999999</v>
      </c>
      <c r="AV247" s="4">
        <v>3.02</v>
      </c>
      <c r="AW247" s="4">
        <v>3.01</v>
      </c>
      <c r="AX247" s="4">
        <v>2.89</v>
      </c>
      <c r="AY247" s="12">
        <v>3.03</v>
      </c>
      <c r="AZ247" s="12">
        <v>3.06</v>
      </c>
      <c r="BA247" s="12">
        <v>3.14</v>
      </c>
      <c r="BB247" s="15">
        <v>3</v>
      </c>
      <c r="BC247" s="52">
        <v>3.11</v>
      </c>
      <c r="BD247" s="52">
        <v>3.59</v>
      </c>
      <c r="BE247" s="52">
        <v>3.43</v>
      </c>
      <c r="BF247" s="52">
        <v>3.32</v>
      </c>
      <c r="BG247" s="67">
        <v>3.47</v>
      </c>
      <c r="BH247" s="52">
        <v>3.41</v>
      </c>
      <c r="BI247" s="52">
        <v>3.43</v>
      </c>
      <c r="BJ247" s="52">
        <v>3.4</v>
      </c>
      <c r="BK247" s="52">
        <v>3.38</v>
      </c>
      <c r="BL247" s="52">
        <v>3.4</v>
      </c>
      <c r="BM247" s="52">
        <v>3.47</v>
      </c>
      <c r="BN247" s="52">
        <v>3.48</v>
      </c>
      <c r="BO247" s="52" cm="1">
        <f t="array" aca="1" ref="BO247" ca="1">_FV(EC247,"Preço")</f>
        <v>3.48</v>
      </c>
      <c r="BP247" s="69" t="s">
        <v>243</v>
      </c>
      <c r="BQ247" s="36" cm="1">
        <f t="array" aca="1" ref="BQ247" ca="1">_FV(EC247,"Média de volume",TRUE)</f>
        <v>406290</v>
      </c>
      <c r="BR247" s="36">
        <v>456900</v>
      </c>
      <c r="BS247" s="36" cm="1">
        <f t="array" aca="1" ref="BS247" ca="1">_FV(EC247,"Volume")</f>
        <v>456900</v>
      </c>
      <c r="BT247" s="24" cm="1">
        <f t="array" aca="1" ref="BT247" ca="1">_FV(EC247,"Beta")</f>
        <v>1.2014</v>
      </c>
      <c r="BU247" s="71" cm="1">
        <f t="array" aca="1" ref="BU247" ca="1">_FV(EC247,"Variação (%)",TRUE)</f>
        <v>-2.8649999999999999E-3</v>
      </c>
      <c r="BW247" s="17" cm="1">
        <f t="array" aca="1" ref="BW247" ca="1">_FV(EC247,"Baixo")</f>
        <v>3.45</v>
      </c>
      <c r="BX247" s="17" cm="1">
        <f t="array" aca="1" ref="BX247" ca="1">_FV(EC247,"Alto")</f>
        <v>3.48</v>
      </c>
      <c r="BY247" s="24"/>
      <c r="BZ247" s="63" t="e">
        <f ca="1">SQRT(22.5*(BO247/VLOOKUP(BP247,Fundamentus!A:U,3,FALSE))*(BO247/VLOOKUP(BP247,Fundamentus!A:U,4,FALSE)))</f>
        <v>#NUM!</v>
      </c>
      <c r="CB247" s="62">
        <f t="shared" ca="1" si="241"/>
        <v>0</v>
      </c>
      <c r="CC247" s="8"/>
      <c r="CD247" s="61">
        <f t="shared" si="242"/>
        <v>2.15</v>
      </c>
      <c r="CE247" s="61">
        <f t="shared" si="243"/>
        <v>3.91</v>
      </c>
      <c r="CF247" s="61">
        <f t="shared" si="244"/>
        <v>3.0387121212121211</v>
      </c>
      <c r="CG247" s="14"/>
      <c r="CH247" s="35">
        <f t="shared" si="227"/>
        <v>3.4434156877824926</v>
      </c>
      <c r="CI247" s="15">
        <f t="shared" si="245"/>
        <v>3.5249999999999773</v>
      </c>
      <c r="CJ247" s="35">
        <f t="shared" si="228"/>
        <v>3.6065843122174619</v>
      </c>
      <c r="CL247" s="14"/>
      <c r="CM247" s="17">
        <f t="shared" si="229"/>
        <v>0.69</v>
      </c>
      <c r="CN247" s="17">
        <f t="shared" si="230"/>
        <v>1.42</v>
      </c>
      <c r="CO247" s="17">
        <f t="shared" si="231"/>
        <v>2.4500000000000002</v>
      </c>
      <c r="CP247" s="38">
        <f t="shared" si="246"/>
        <v>3.18</v>
      </c>
      <c r="CQ247" s="17">
        <f t="shared" si="232"/>
        <v>4.2100000000000009</v>
      </c>
      <c r="CR247" s="17">
        <f t="shared" si="233"/>
        <v>4.9400000000000004</v>
      </c>
      <c r="CS247" s="17">
        <f t="shared" si="234"/>
        <v>5.9700000000000006</v>
      </c>
      <c r="CT247" s="2" cm="1">
        <f t="array" aca="1" ref="CT247" ca="1">MAX(_xlfn._xlws.FILTER(CM247:CS247,CM247:CS247&lt;BO247))</f>
        <v>3.18</v>
      </c>
      <c r="CU247" s="2" cm="1">
        <f t="array" aca="1" ref="CU247" ca="1">MIN(_xlfn._xlws.FILTER($CM247:$CS247,$CM247:$CS247&gt;BO247))</f>
        <v>4.2100000000000009</v>
      </c>
      <c r="CV247" s="16">
        <f t="shared" ca="1" si="248"/>
        <v>0.32389937106918265</v>
      </c>
      <c r="CW247" s="20">
        <f t="shared" ca="1" si="249"/>
        <v>-0.16194968553459133</v>
      </c>
      <c r="CX247" s="20">
        <f t="shared" ca="1" si="250"/>
        <v>-0.10796645702306089</v>
      </c>
      <c r="CY247" s="20">
        <f t="shared" ca="1" si="251"/>
        <v>-6.4779874213836533E-2</v>
      </c>
      <c r="CZ247" s="20">
        <f t="shared" ca="1" si="252"/>
        <v>-3.598881900768696E-2</v>
      </c>
      <c r="DA247" s="20">
        <f t="shared" ca="1" si="253"/>
        <v>-1.9052904180540155E-2</v>
      </c>
      <c r="DB247" s="20">
        <f t="shared" ca="1" si="254"/>
        <v>-9.8151324566418986E-3</v>
      </c>
      <c r="DC247" s="20">
        <f t="shared" ca="1" si="255"/>
        <v>-4.9830672472181946E-3</v>
      </c>
      <c r="DD247" s="21">
        <f t="shared" ca="1" si="256"/>
        <v>4.9830672472181946E-3</v>
      </c>
      <c r="DE247" s="21">
        <f t="shared" ca="1" si="257"/>
        <v>9.8151324566418986E-3</v>
      </c>
      <c r="DF247" s="21">
        <f t="shared" ca="1" si="258"/>
        <v>1.9052904180540155E-2</v>
      </c>
      <c r="DG247" s="21">
        <f t="shared" ca="1" si="259"/>
        <v>3.598881900768696E-2</v>
      </c>
      <c r="DH247" s="21">
        <f t="shared" ca="1" si="260"/>
        <v>6.4779874213836533E-2</v>
      </c>
      <c r="DI247" s="21">
        <f t="shared" ca="1" si="261"/>
        <v>0.10796645702306089</v>
      </c>
      <c r="DJ247" s="21">
        <f t="shared" ca="1" si="262"/>
        <v>0.16194968553459133</v>
      </c>
      <c r="DL247" s="16" cm="1">
        <f t="array" aca="1" ref="DL247" ca="1">MAX(_xlfn._xlws.FILTER(CW247:DJ247,CW247:DJ247&lt;BU247))</f>
        <v>-4.9830672472181946E-3</v>
      </c>
      <c r="DM247" s="16" cm="1">
        <f t="array" aca="1" ref="DM247" ca="1">MIN(_xlfn._xlws.FILTER(CW247:DJ247,CW247:DJ247&gt;BU247))</f>
        <v>4.9830672472181946E-3</v>
      </c>
      <c r="DN247" s="2" cm="1">
        <f t="array" aca="1" ref="DN247" ca="1">_FV(EC247,"Fechamento anterior",TRUE)</f>
        <v>3.49</v>
      </c>
      <c r="DO247" s="28">
        <f t="shared" ca="1" si="235"/>
        <v>0.2124933930508755</v>
      </c>
      <c r="DP247" s="15">
        <f t="shared" ca="1" si="263"/>
        <v>3.4726090953072086</v>
      </c>
      <c r="DQ247" s="15">
        <f t="shared" ca="1" si="264"/>
        <v>3.5073909046927918</v>
      </c>
      <c r="DR247" s="9"/>
      <c r="DS247" s="9"/>
      <c r="DT247" s="9"/>
      <c r="DU247" s="89">
        <v>4.7467683831320228E-3</v>
      </c>
      <c r="DV247" s="89">
        <f t="shared" ca="1" si="236"/>
        <v>9.9661344944363892E-3</v>
      </c>
      <c r="DW247" s="72">
        <f t="shared" ca="1" si="237"/>
        <v>-0.55157663007586355</v>
      </c>
      <c r="DX247" s="37"/>
      <c r="DY247" s="35">
        <f t="shared" si="247"/>
        <v>4.0792156108742365E-2</v>
      </c>
      <c r="DZ247" s="56"/>
      <c r="EA247" s="56"/>
      <c r="EC247" s="2" t="e" vm="249">
        <v>#VALUE!</v>
      </c>
      <c r="EE247" s="10" cm="1">
        <f t="array" aca="1" ref="EE247" ca="1">_FV(EC247,"Ações em circulação",TRUE)</f>
        <v>406934400</v>
      </c>
      <c r="EF247" s="18">
        <f>VLOOKUP(BP247,Fundamentus!A:U,5,FALSE)</f>
        <v>0.30199999999999999</v>
      </c>
      <c r="EG247" s="2">
        <f t="shared" ca="1" si="238"/>
        <v>4689177854.304636</v>
      </c>
      <c r="EH247" s="17">
        <v>-143957760.12715232</v>
      </c>
      <c r="EI247" s="17">
        <f t="shared" ca="1" si="239"/>
        <v>-143957760.12715232</v>
      </c>
      <c r="EK247" s="16">
        <f t="shared" ca="1" si="226"/>
        <v>0</v>
      </c>
      <c r="EL247" s="32" t="str">
        <f>IF(VLOOKUP(BP247,Fundamentus!A:U,3,FALSE)&lt;15,"Bom",IF(VLOOKUP(BP247,Fundamentus!A:U,3,FALSE)&gt;15,"Ruim","n/a"))</f>
        <v>Bom</v>
      </c>
      <c r="EM247" s="28" t="str">
        <f>IF(VLOOKUP(BP247,Fundamentus!A:U,4,FALSE)&lt;1,"Baixo",IF(VLOOKUP(BP247,Fundamentus!A:U,4,FALSE)&lt;1.5,"Moderado",IF(VLOOKUP(BP247,Fundamentus!A:U,4,FALSE)&gt;1.5,"Alto","n/a")))</f>
        <v>Baixo</v>
      </c>
      <c r="EN247" s="17" t="str">
        <f>IF(VLOOKUP(BP247,Fundamentus!A:U,8,FALSE)&lt;0,"Risco elevado",IF(VLOOKUP(BP247,Fundamentus!A:U,8,FALSE)&lt;1,"Saudável",IF(VLOOKUP(BP247,Fundamentus!A:U,8,FALSE)&lt;3,"Estável",IF(VLOOKUP(BP247,Fundamentus!A:U,8,FALSE)&gt;3,"Alerta","n/a"))))</f>
        <v>Alerta</v>
      </c>
      <c r="EO247" s="28" t="str">
        <f t="shared" si="240"/>
        <v>Ruim</v>
      </c>
      <c r="EP247" s="17" t="str">
        <f>IF(VLOOKUP(BP247,Fundamentus!A:U,12,FALSE)&lt;2,"Subvalorizada",IF(VLOOKUP(BP247,Fundamentus!A:U,12,FALSE)&lt;6,"Muita barata",IF(VLOOKUP(BP247,Fundamentus!A:U,12,FALSE)&lt;6,"Barata",IF(VLOOKUP(BP247,Fundamentus!A:U,12,FALSE)&lt;8,"Atrativa",IF(VLOOKUP(BP247,Fundamentus!A:U,12,FALSE)&gt;8,"Supervalorizada","n/a")))))</f>
        <v>Muita barata</v>
      </c>
      <c r="ER247" s="17" t="str">
        <f>IF(VLOOKUP(BP247,Fundamentus!A:U,17,FALSE)&lt;0.1,"Fraco retorno",IF(VLOOKUP(BP247,Fundamentus!A:U,17,FALSE)&gt;0.1,"Bom retorno","n/a"))</f>
        <v>Fraco retorno</v>
      </c>
      <c r="ES247" s="17" t="str">
        <f>IF(VLOOKUP(BP247,Fundamentus!A:U,16,FALSE)&lt;0.1,"Ineficiente",IF(VLOOKUP(BP247,Fundamentus!A:U,16,FALSE)&gt;0.1,"Eficiente","n/a"))</f>
        <v>Ineficiente</v>
      </c>
      <c r="ET247" s="33" t="str">
        <f>IF(VLOOKUP(BP247,Fundamentus!A:U,16,FALSE)&lt;0.1,"Oper. Ineficiente",IF(VLOOKUP(BP247,Fundamentus!A:U,16,FALSE)&gt;0.1,"Oper.Eficiente","n/a"))</f>
        <v>Oper. Ineficiente</v>
      </c>
      <c r="EU247" s="34">
        <f>VLOOKUP(BP247,Fundamentus!A:U,14,FALSE)</f>
        <v>-3.0700000000000002E-2</v>
      </c>
      <c r="EV247" s="17" t="str">
        <f>IF(VLOOKUP(BP247,Fundamentus!A:U,21,FALSE)&lt;0,"Negativo",IF(VLOOKUP(BP247,Fundamentus!A:U,21,FALSE)&lt;0.05,"Fraco",IF(VLOOKUP(BP247,Fundamentus!A:U,21,FALSE)&lt;0.1,"Bom",IF(VLOOKUP(BP247,Fundamentus!A:U,21,FALSE)&gt;0.1,"Muito bom","n/a"))))</f>
        <v>Muito bom</v>
      </c>
      <c r="EX247" s="29" t="str">
        <f>IF(VLOOKUP(BP247,Fundamentus!A:U,15,FALSE)&gt;1,"Bom",IF(VLOOKUP(BP247,Fundamentus!A:U,15,FALSE)&lt;1,"Ruim","n/a"))</f>
        <v>Bom</v>
      </c>
      <c r="EY247" s="17" t="str">
        <f>IF(VLOOKUP(BP247,Fundamentus!A:U,20,FALSE)&lt;0.5,"Baixa",IF(VLOOKUP(BP247,Fundamentus!A:U,20,FALSE)&lt;1,"Moderada",IF(VLOOKUP(BP247,Fundamentus!A:U,20,FALSE)&lt;2,"Alerta",IF(VLOOKUP(BP247,Fundamentus!A:U,20,FALSE)&gt;2,"Alta","n/a"))))</f>
        <v>Moderada</v>
      </c>
    </row>
    <row r="248" spans="1:155" s="2" customFormat="1" ht="11.25" x14ac:dyDescent="0.2">
      <c r="A248" s="4">
        <v>3.03</v>
      </c>
      <c r="B248" s="4">
        <v>2.71</v>
      </c>
      <c r="C248" s="4">
        <v>2.5099999999999998</v>
      </c>
      <c r="D248" s="4">
        <v>1.95</v>
      </c>
      <c r="E248" s="4">
        <v>1.87</v>
      </c>
      <c r="F248" s="4">
        <v>1.65</v>
      </c>
      <c r="G248" s="4">
        <v>1.7</v>
      </c>
      <c r="H248" s="4">
        <v>1.79</v>
      </c>
      <c r="I248" s="4">
        <v>1.87</v>
      </c>
      <c r="J248" s="4">
        <v>1.88</v>
      </c>
      <c r="K248" s="4">
        <v>1.85</v>
      </c>
      <c r="L248" s="4">
        <v>1.81</v>
      </c>
      <c r="M248" s="4">
        <v>2.0299999999999998</v>
      </c>
      <c r="N248" s="4">
        <v>1.86</v>
      </c>
      <c r="O248" s="4">
        <v>1.92</v>
      </c>
      <c r="P248" s="4">
        <v>2.2000000000000002</v>
      </c>
      <c r="Q248" s="4">
        <v>2.2599999999999998</v>
      </c>
      <c r="R248" s="4">
        <v>2.12</v>
      </c>
      <c r="S248" s="4">
        <v>1.93</v>
      </c>
      <c r="T248" s="4">
        <v>1.85</v>
      </c>
      <c r="U248" s="4">
        <v>1.9</v>
      </c>
      <c r="V248" s="4">
        <v>1.82</v>
      </c>
      <c r="W248" s="4">
        <v>1.89</v>
      </c>
      <c r="X248" s="4">
        <v>1.7</v>
      </c>
      <c r="Y248" s="4">
        <v>1.7</v>
      </c>
      <c r="Z248" s="4">
        <v>1.68</v>
      </c>
      <c r="AA248" s="4">
        <v>1.48</v>
      </c>
      <c r="AB248" s="4">
        <v>1.41</v>
      </c>
      <c r="AC248" s="4">
        <v>1.31</v>
      </c>
      <c r="AD248" s="4">
        <v>1.25</v>
      </c>
      <c r="AE248" s="4">
        <v>1.26</v>
      </c>
      <c r="AF248" s="4">
        <v>1.28</v>
      </c>
      <c r="AG248" s="4">
        <v>1.51</v>
      </c>
      <c r="AH248" s="4">
        <v>1.34</v>
      </c>
      <c r="AI248" s="4">
        <v>1.27</v>
      </c>
      <c r="AJ248" s="4">
        <v>1.29</v>
      </c>
      <c r="AK248" s="4">
        <v>1.33</v>
      </c>
      <c r="AL248" s="4">
        <v>1.44</v>
      </c>
      <c r="AM248" s="4">
        <v>1.49</v>
      </c>
      <c r="AN248" s="4">
        <v>1.4</v>
      </c>
      <c r="AO248" s="4">
        <v>1.44</v>
      </c>
      <c r="AP248" s="4">
        <v>1.55</v>
      </c>
      <c r="AQ248" s="4">
        <v>1.51</v>
      </c>
      <c r="AR248" s="4">
        <v>1.46</v>
      </c>
      <c r="AS248" s="4">
        <v>1.4</v>
      </c>
      <c r="AT248" s="4">
        <v>1.38</v>
      </c>
      <c r="AU248" s="4">
        <v>1.41</v>
      </c>
      <c r="AV248" s="4">
        <v>1.44</v>
      </c>
      <c r="AW248" s="4">
        <v>1.34</v>
      </c>
      <c r="AX248" s="4">
        <v>1.34</v>
      </c>
      <c r="AY248" s="12">
        <v>1.45</v>
      </c>
      <c r="AZ248" s="12">
        <v>1.44</v>
      </c>
      <c r="BA248" s="12">
        <v>1.38</v>
      </c>
      <c r="BB248" s="15">
        <v>2</v>
      </c>
      <c r="BC248" s="52">
        <v>1.81</v>
      </c>
      <c r="BD248" s="52">
        <v>1.65</v>
      </c>
      <c r="BE248" s="52">
        <v>1.62</v>
      </c>
      <c r="BF248" s="52">
        <v>1.66</v>
      </c>
      <c r="BG248" s="67">
        <v>1.75</v>
      </c>
      <c r="BH248" s="52">
        <v>1.68</v>
      </c>
      <c r="BI248" s="52">
        <v>1.64</v>
      </c>
      <c r="BJ248" s="52">
        <v>1.69</v>
      </c>
      <c r="BK248" s="52">
        <v>1.65</v>
      </c>
      <c r="BL248" s="52">
        <v>1.59</v>
      </c>
      <c r="BM248" s="52">
        <v>1.51</v>
      </c>
      <c r="BN248" s="52">
        <v>1.4</v>
      </c>
      <c r="BO248" s="52" cm="1">
        <f t="array" aca="1" ref="BO248" ca="1">_FV(EC248,"Preço")</f>
        <v>1.4</v>
      </c>
      <c r="BP248" s="69" t="s">
        <v>244</v>
      </c>
      <c r="BQ248" s="36" cm="1">
        <f t="array" aca="1" ref="BQ248" ca="1">_FV(EC248,"Média de volume",TRUE)</f>
        <v>7800</v>
      </c>
      <c r="BR248" s="36">
        <v>17300</v>
      </c>
      <c r="BS248" s="36" cm="1">
        <f t="array" aca="1" ref="BS248" ca="1">_FV(EC248,"Volume")</f>
        <v>17300</v>
      </c>
      <c r="BT248" s="24" cm="1">
        <f t="array" aca="1" ref="BT248" ca="1">_FV(EC248,"Beta")</f>
        <v>1.9744999999999999</v>
      </c>
      <c r="BU248" s="71" cm="1">
        <f t="array" aca="1" ref="BU248" ca="1">_FV(EC248,"Variação (%)",TRUE)</f>
        <v>1.4493000000000001E-2</v>
      </c>
      <c r="BW248" s="17" cm="1">
        <f t="array" aca="1" ref="BW248" ca="1">_FV(EC248,"Baixo")</f>
        <v>1.37</v>
      </c>
      <c r="BX248" s="17" cm="1">
        <f t="array" aca="1" ref="BX248" ca="1">_FV(EC248,"Alto")</f>
        <v>1.41</v>
      </c>
      <c r="BY248" s="24"/>
      <c r="BZ248" s="63">
        <f ca="1">SQRT(22.5*(BO248/VLOOKUP(BP248,Fundamentus!A:U,3,FALSE))*(BO248/VLOOKUP(BP248,Fundamentus!A:U,4,FALSE)))</f>
        <v>55.148701801083469</v>
      </c>
      <c r="CB248" s="62">
        <f t="shared" ca="1" si="241"/>
        <v>0</v>
      </c>
      <c r="CC248" s="8"/>
      <c r="CD248" s="61">
        <f t="shared" si="242"/>
        <v>1.25</v>
      </c>
      <c r="CE248" s="61">
        <f t="shared" si="243"/>
        <v>3.03</v>
      </c>
      <c r="CF248" s="61">
        <f t="shared" si="244"/>
        <v>1.6777272727272732</v>
      </c>
      <c r="CG248" s="14"/>
      <c r="CH248" s="35">
        <f t="shared" si="227"/>
        <v>1.1227706584482231</v>
      </c>
      <c r="CI248" s="15">
        <f t="shared" si="245"/>
        <v>1.3300000000000409</v>
      </c>
      <c r="CJ248" s="35">
        <f t="shared" si="228"/>
        <v>1.5372293415518588</v>
      </c>
      <c r="CL248" s="14"/>
      <c r="CM248" s="17">
        <f t="shared" si="229"/>
        <v>-1.023333333333333</v>
      </c>
      <c r="CN248" s="17">
        <f t="shared" si="230"/>
        <v>0.11333333333333351</v>
      </c>
      <c r="CO248" s="17">
        <f t="shared" si="231"/>
        <v>0.75666666666666682</v>
      </c>
      <c r="CP248" s="38">
        <f t="shared" si="246"/>
        <v>1.8933333333333333</v>
      </c>
      <c r="CQ248" s="17">
        <f t="shared" si="232"/>
        <v>2.5366666666666666</v>
      </c>
      <c r="CR248" s="17">
        <f t="shared" si="233"/>
        <v>3.6733333333333329</v>
      </c>
      <c r="CS248" s="17">
        <f t="shared" si="234"/>
        <v>4.3166666666666664</v>
      </c>
      <c r="CT248" s="2" cm="1">
        <f t="array" aca="1" ref="CT248" ca="1">MAX(_xlfn._xlws.FILTER(CM248:CS248,CM248:CS248&lt;BO248))</f>
        <v>0.75666666666666682</v>
      </c>
      <c r="CU248" s="2" cm="1">
        <f t="array" aca="1" ref="CU248" ca="1">MIN(_xlfn._xlws.FILTER($CM248:$CS248,$CM248:$CS248&gt;BO248))</f>
        <v>1.8933333333333333</v>
      </c>
      <c r="CV248" s="16">
        <f t="shared" ca="1" si="248"/>
        <v>1.5022026431718056</v>
      </c>
      <c r="CW248" s="20">
        <f t="shared" ca="1" si="249"/>
        <v>-0.75110132158590281</v>
      </c>
      <c r="CX248" s="20">
        <f t="shared" ca="1" si="250"/>
        <v>-0.50073421439060184</v>
      </c>
      <c r="CY248" s="20">
        <f t="shared" ca="1" si="251"/>
        <v>-0.3004405286343611</v>
      </c>
      <c r="CZ248" s="20">
        <f t="shared" ca="1" si="252"/>
        <v>-0.16691140479686728</v>
      </c>
      <c r="DA248" s="20">
        <f t="shared" ca="1" si="253"/>
        <v>-8.8364861363047387E-2</v>
      </c>
      <c r="DB248" s="20">
        <f t="shared" ca="1" si="254"/>
        <v>-4.5521292217327446E-2</v>
      </c>
      <c r="DC248" s="20">
        <f t="shared" ca="1" si="255"/>
        <v>-2.3110809894950856E-2</v>
      </c>
      <c r="DD248" s="21">
        <f t="shared" ca="1" si="256"/>
        <v>2.3110809894950856E-2</v>
      </c>
      <c r="DE248" s="21">
        <f t="shared" ca="1" si="257"/>
        <v>4.5521292217327446E-2</v>
      </c>
      <c r="DF248" s="21">
        <f t="shared" ca="1" si="258"/>
        <v>8.8364861363047387E-2</v>
      </c>
      <c r="DG248" s="21">
        <f t="shared" ca="1" si="259"/>
        <v>0.16691140479686728</v>
      </c>
      <c r="DH248" s="21">
        <f t="shared" ca="1" si="260"/>
        <v>0.3004405286343611</v>
      </c>
      <c r="DI248" s="21">
        <f t="shared" ca="1" si="261"/>
        <v>0.50073421439060184</v>
      </c>
      <c r="DJ248" s="21">
        <f t="shared" ca="1" si="262"/>
        <v>0.75110132158590281</v>
      </c>
      <c r="DL248" s="16" cm="1">
        <f t="array" aca="1" ref="DL248" ca="1">MAX(_xlfn._xlws.FILTER(CW248:DJ248,CW248:DJ248&lt;BU248))</f>
        <v>-2.3110809894950856E-2</v>
      </c>
      <c r="DM248" s="16" cm="1">
        <f t="array" aca="1" ref="DM248" ca="1">MIN(_xlfn._xlws.FILTER(CW248:DJ248,CW248:DJ248&gt;BU248))</f>
        <v>2.3110809894950856E-2</v>
      </c>
      <c r="DN248" s="2" cm="1">
        <f t="array" aca="1" ref="DN248" ca="1">_FV(EC248,"Fechamento anterior",TRUE)</f>
        <v>1.38</v>
      </c>
      <c r="DO248" s="28">
        <f t="shared" ca="1" si="235"/>
        <v>0.8135492371116495</v>
      </c>
      <c r="DP248" s="15">
        <f t="shared" ca="1" si="263"/>
        <v>1.3481070823449677</v>
      </c>
      <c r="DQ248" s="15">
        <f t="shared" ca="1" si="264"/>
        <v>1.4118929176550321</v>
      </c>
      <c r="DR248" s="9"/>
      <c r="DS248" s="9"/>
      <c r="DT248" s="9"/>
      <c r="DU248" s="89">
        <v>3.7387518142235142E-2</v>
      </c>
      <c r="DV248" s="89">
        <f t="shared" ca="1" si="236"/>
        <v>4.6221619789901712E-2</v>
      </c>
      <c r="DW248" s="72">
        <f t="shared" ca="1" si="237"/>
        <v>0.33779000346075722</v>
      </c>
      <c r="DX248" s="37"/>
      <c r="DY248" s="35">
        <f t="shared" si="247"/>
        <v>0.10361467077590895</v>
      </c>
      <c r="DZ248" s="56"/>
      <c r="EA248" s="56"/>
      <c r="EC248" s="2" t="e" vm="250">
        <v>#VALUE!</v>
      </c>
      <c r="EE248" s="10" cm="1">
        <f t="array" aca="1" ref="EE248" ca="1">_FV(EC248,"Ações em circulação",TRUE)</f>
        <v>44895590</v>
      </c>
      <c r="EF248" s="18">
        <f>VLOOKUP(BP248,Fundamentus!A:U,5,FALSE)</f>
        <v>15.2</v>
      </c>
      <c r="EG248" s="2">
        <f t="shared" ca="1" si="238"/>
        <v>4135120.131578947</v>
      </c>
      <c r="EH248" s="17">
        <v>-222418187.58931577</v>
      </c>
      <c r="EI248" s="17">
        <f t="shared" ca="1" si="239"/>
        <v>-222418187.58931577</v>
      </c>
      <c r="EK248" s="16">
        <f t="shared" ca="1" si="226"/>
        <v>0</v>
      </c>
      <c r="EL248" s="32" t="str">
        <f>IF(VLOOKUP(BP248,Fundamentus!A:U,3,FALSE)&lt;15,"Bom",IF(VLOOKUP(BP248,Fundamentus!A:U,3,FALSE)&gt;15,"Ruim","n/a"))</f>
        <v>Bom</v>
      </c>
      <c r="EM248" s="28" t="str">
        <f>IF(VLOOKUP(BP248,Fundamentus!A:U,4,FALSE)&lt;1,"Baixo",IF(VLOOKUP(BP248,Fundamentus!A:U,4,FALSE)&lt;1.5,"Moderado",IF(VLOOKUP(BP248,Fundamentus!A:U,4,FALSE)&gt;1.5,"Alto","n/a")))</f>
        <v>Baixo</v>
      </c>
      <c r="EN248" s="17" t="str">
        <f>IF(VLOOKUP(BP248,Fundamentus!A:U,8,FALSE)&lt;0,"Risco elevado",IF(VLOOKUP(BP248,Fundamentus!A:U,8,FALSE)&lt;1,"Saudável",IF(VLOOKUP(BP248,Fundamentus!A:U,8,FALSE)&lt;3,"Estável",IF(VLOOKUP(BP248,Fundamentus!A:U,8,FALSE)&gt;3,"Alerta","n/a"))))</f>
        <v>Risco elevado</v>
      </c>
      <c r="EO248" s="28" t="str">
        <f t="shared" si="240"/>
        <v>Bom</v>
      </c>
      <c r="EP248" s="17" t="str">
        <f>IF(VLOOKUP(BP248,Fundamentus!A:U,12,FALSE)&lt;2,"Subvalorizada",IF(VLOOKUP(BP248,Fundamentus!A:U,12,FALSE)&lt;6,"Muita barata",IF(VLOOKUP(BP248,Fundamentus!A:U,12,FALSE)&lt;6,"Barata",IF(VLOOKUP(BP248,Fundamentus!A:U,12,FALSE)&lt;8,"Atrativa",IF(VLOOKUP(BP248,Fundamentus!A:U,12,FALSE)&gt;8,"Supervalorizada","n/a")))))</f>
        <v>Subvalorizada</v>
      </c>
      <c r="ER248" s="17" t="str">
        <f>IF(VLOOKUP(BP248,Fundamentus!A:U,17,FALSE)&lt;0.1,"Fraco retorno",IF(VLOOKUP(BP248,Fundamentus!A:U,17,FALSE)&gt;0.1,"Bom retorno","n/a"))</f>
        <v>Bom retorno</v>
      </c>
      <c r="ES248" s="17" t="str">
        <f>IF(VLOOKUP(BP248,Fundamentus!A:U,16,FALSE)&lt;0.1,"Ineficiente",IF(VLOOKUP(BP248,Fundamentus!A:U,16,FALSE)&gt;0.1,"Eficiente","n/a"))</f>
        <v>Ineficiente</v>
      </c>
      <c r="ET248" s="33" t="str">
        <f>IF(VLOOKUP(BP248,Fundamentus!A:U,16,FALSE)&lt;0.1,"Oper. Ineficiente",IF(VLOOKUP(BP248,Fundamentus!A:U,16,FALSE)&gt;0.1,"Oper.Eficiente","n/a"))</f>
        <v>Oper. Ineficiente</v>
      </c>
      <c r="EU248" s="34">
        <f>VLOOKUP(BP248,Fundamentus!A:U,14,FALSE)</f>
        <v>-53.787599999999998</v>
      </c>
      <c r="EV248" s="17" t="str">
        <f>IF(VLOOKUP(BP248,Fundamentus!A:U,21,FALSE)&lt;0,"Negativo",IF(VLOOKUP(BP248,Fundamentus!A:U,21,FALSE)&lt;0.05,"Fraco",IF(VLOOKUP(BP248,Fundamentus!A:U,21,FALSE)&lt;0.1,"Bom",IF(VLOOKUP(BP248,Fundamentus!A:U,21,FALSE)&gt;0.1,"Muito bom","n/a"))))</f>
        <v>Negativo</v>
      </c>
      <c r="EX248" s="29" t="str">
        <f>IF(VLOOKUP(BP248,Fundamentus!A:U,15,FALSE)&gt;1,"Bom",IF(VLOOKUP(BP248,Fundamentus!A:U,15,FALSE)&lt;1,"Ruim","n/a"))</f>
        <v>Ruim</v>
      </c>
      <c r="EY248" s="17" t="str">
        <f>IF(VLOOKUP(BP248,Fundamentus!A:U,20,FALSE)&lt;0.5,"Baixa",IF(VLOOKUP(BP248,Fundamentus!A:U,20,FALSE)&lt;1,"Moderada",IF(VLOOKUP(BP248,Fundamentus!A:U,20,FALSE)&lt;2,"Alerta",IF(VLOOKUP(BP248,Fundamentus!A:U,20,FALSE)&gt;2,"Alta","n/a"))))</f>
        <v>Baixa</v>
      </c>
    </row>
    <row r="249" spans="1:155" s="2" customFormat="1" ht="11.25" x14ac:dyDescent="0.2">
      <c r="A249" s="4">
        <v>0.73</v>
      </c>
      <c r="B249" s="4">
        <v>0.71</v>
      </c>
      <c r="C249" s="4">
        <v>0.63</v>
      </c>
      <c r="D249" s="4">
        <v>0.59</v>
      </c>
      <c r="E249" s="4">
        <v>0.6</v>
      </c>
      <c r="F249" s="4">
        <v>0.57999999999999996</v>
      </c>
      <c r="G249" s="4">
        <v>0.5</v>
      </c>
      <c r="H249" s="4">
        <v>4.34</v>
      </c>
      <c r="I249" s="4">
        <v>5.34</v>
      </c>
      <c r="J249" s="4">
        <v>6.24</v>
      </c>
      <c r="K249" s="4">
        <v>5.91</v>
      </c>
      <c r="L249" s="4">
        <v>4.3899999999999997</v>
      </c>
      <c r="M249" s="4">
        <v>4.4000000000000004</v>
      </c>
      <c r="N249" s="4">
        <v>4.1900000000000004</v>
      </c>
      <c r="O249" s="4">
        <v>4.25</v>
      </c>
      <c r="P249" s="4">
        <v>4.4800000000000004</v>
      </c>
      <c r="Q249" s="4">
        <v>4.6500000000000004</v>
      </c>
      <c r="R249" s="4">
        <v>4.95</v>
      </c>
      <c r="S249" s="4">
        <v>5.09</v>
      </c>
      <c r="T249" s="4">
        <v>5.23</v>
      </c>
      <c r="U249" s="4">
        <v>5.2</v>
      </c>
      <c r="V249" s="4">
        <v>5.26</v>
      </c>
      <c r="W249" s="4">
        <v>4.83</v>
      </c>
      <c r="X249" s="4">
        <v>4.71</v>
      </c>
      <c r="Y249" s="4">
        <v>4.38</v>
      </c>
      <c r="Z249" s="4">
        <v>4.41</v>
      </c>
      <c r="AA249" s="4">
        <v>4.4800000000000004</v>
      </c>
      <c r="AB249" s="4">
        <v>4.0999999999999996</v>
      </c>
      <c r="AC249" s="4">
        <v>1</v>
      </c>
      <c r="AD249" s="4">
        <v>1.46</v>
      </c>
      <c r="AE249" s="4">
        <v>1.6</v>
      </c>
      <c r="AF249" s="4">
        <v>1.46</v>
      </c>
      <c r="AG249" s="4">
        <v>1.39</v>
      </c>
      <c r="AH249" s="4">
        <v>1.35</v>
      </c>
      <c r="AI249" s="4">
        <v>1.33</v>
      </c>
      <c r="AJ249" s="4">
        <v>1.34</v>
      </c>
      <c r="AK249" s="4">
        <v>1.47</v>
      </c>
      <c r="AL249" s="4">
        <v>1.43</v>
      </c>
      <c r="AM249" s="4">
        <v>1.55</v>
      </c>
      <c r="AN249" s="4">
        <v>1.65</v>
      </c>
      <c r="AO249" s="4">
        <v>1.45</v>
      </c>
      <c r="AP249" s="4">
        <v>1.28</v>
      </c>
      <c r="AQ249" s="4">
        <v>1.22</v>
      </c>
      <c r="AR249" s="4">
        <v>1.1299999999999999</v>
      </c>
      <c r="AS249" s="4">
        <v>1.1599999999999999</v>
      </c>
      <c r="AT249" s="4">
        <v>1.19</v>
      </c>
      <c r="AU249" s="4">
        <v>1.2749999999999999</v>
      </c>
      <c r="AV249" s="4">
        <v>1.06</v>
      </c>
      <c r="AW249" s="4">
        <v>0.91</v>
      </c>
      <c r="AX249" s="4">
        <v>0.48</v>
      </c>
      <c r="AY249" s="12">
        <v>0.61</v>
      </c>
      <c r="AZ249" s="12">
        <v>0.6</v>
      </c>
      <c r="BA249" s="12">
        <v>0.56999999999999995</v>
      </c>
      <c r="BB249" s="15">
        <v>0.65</v>
      </c>
      <c r="BC249" s="52">
        <v>0.66</v>
      </c>
      <c r="BD249" s="52">
        <v>0.63</v>
      </c>
      <c r="BE249" s="52">
        <v>0.63</v>
      </c>
      <c r="BF249" s="52">
        <v>0.67</v>
      </c>
      <c r="BG249" s="67">
        <v>0.71</v>
      </c>
      <c r="BH249" s="52">
        <v>0.63</v>
      </c>
      <c r="BI249" s="52">
        <v>0.64</v>
      </c>
      <c r="BJ249" s="52">
        <v>0.63</v>
      </c>
      <c r="BK249" s="52">
        <v>0.56999999999999995</v>
      </c>
      <c r="BL249" s="52">
        <v>0.56999999999999995</v>
      </c>
      <c r="BM249" s="52">
        <v>0.5</v>
      </c>
      <c r="BN249" s="52">
        <v>0.51</v>
      </c>
      <c r="BO249" s="52" cm="1">
        <f t="array" aca="1" ref="BO249" ca="1">_FV(EC249,"Preço")</f>
        <v>0.51</v>
      </c>
      <c r="BP249" s="69" t="s">
        <v>245</v>
      </c>
      <c r="BQ249" s="36" cm="1">
        <f t="array" aca="1" ref="BQ249" ca="1">_FV(EC249,"Média de volume",TRUE)</f>
        <v>16660</v>
      </c>
      <c r="BR249" s="36">
        <v>1949800</v>
      </c>
      <c r="BS249" s="36" cm="1">
        <f t="array" aca="1" ref="BS249" ca="1">_FV(EC249,"Volume")</f>
        <v>1949800</v>
      </c>
      <c r="BT249" s="24" cm="1">
        <f t="array" aca="1" ref="BT249" ca="1">_FV(EC249,"Beta")</f>
        <v>1.3711</v>
      </c>
      <c r="BU249" s="71" cm="1">
        <f t="array" aca="1" ref="BU249" ca="1">_FV(EC249,"Variação (%)",TRUE)</f>
        <v>-1.9231000000000002E-2</v>
      </c>
      <c r="BW249" s="17" cm="1">
        <f t="array" aca="1" ref="BW249" ca="1">_FV(EC249,"Baixo")</f>
        <v>0.51</v>
      </c>
      <c r="BX249" s="17" cm="1">
        <f t="array" aca="1" ref="BX249" ca="1">_FV(EC249,"Alto")</f>
        <v>0.54</v>
      </c>
      <c r="BY249" s="24"/>
      <c r="BZ249" s="63" t="e">
        <f ca="1">SQRT(22.5*(BO249/VLOOKUP(BP249,Fundamentus!A:U,3,FALSE))*(BO249/VLOOKUP(BP249,Fundamentus!A:U,4,FALSE)))</f>
        <v>#NUM!</v>
      </c>
      <c r="CB249" s="62">
        <f t="shared" ca="1" si="241"/>
        <v>0</v>
      </c>
      <c r="CC249" s="8"/>
      <c r="CD249" s="61">
        <f t="shared" si="242"/>
        <v>0.48</v>
      </c>
      <c r="CE249" s="61">
        <f t="shared" si="243"/>
        <v>6.24</v>
      </c>
      <c r="CF249" s="61">
        <f t="shared" si="244"/>
        <v>2.1687121212121196</v>
      </c>
      <c r="CG249" s="14"/>
      <c r="CH249" s="35">
        <f t="shared" si="227"/>
        <v>0.38068139101958154</v>
      </c>
      <c r="CI249" s="15">
        <f t="shared" si="245"/>
        <v>0.47499999999999432</v>
      </c>
      <c r="CJ249" s="35">
        <f t="shared" si="228"/>
        <v>0.56931860898040709</v>
      </c>
      <c r="CL249" s="14"/>
      <c r="CM249" s="17">
        <f t="shared" si="229"/>
        <v>-7.18</v>
      </c>
      <c r="CN249" s="17">
        <f t="shared" si="230"/>
        <v>-3.3499999999999996</v>
      </c>
      <c r="CO249" s="17">
        <f t="shared" si="231"/>
        <v>-1.42</v>
      </c>
      <c r="CP249" s="38">
        <f t="shared" si="246"/>
        <v>2.41</v>
      </c>
      <c r="CQ249" s="17">
        <f t="shared" si="232"/>
        <v>4.34</v>
      </c>
      <c r="CR249" s="17">
        <f t="shared" si="233"/>
        <v>8.17</v>
      </c>
      <c r="CS249" s="17">
        <f t="shared" si="234"/>
        <v>10.100000000000001</v>
      </c>
      <c r="CT249" s="2" cm="1">
        <f t="array" aca="1" ref="CT249" ca="1">MAX(_xlfn._xlws.FILTER(CM249:CS249,CM249:CS249&lt;BO249))</f>
        <v>-1.42</v>
      </c>
      <c r="CU249" s="2" cm="1">
        <f t="array" aca="1" ref="CU249" ca="1">MIN(_xlfn._xlws.FILTER($CM249:$CS249,$CM249:$CS249&gt;BO249))</f>
        <v>2.41</v>
      </c>
      <c r="CV249" s="16">
        <f t="shared" ca="1" si="248"/>
        <v>-2.6971830985915495</v>
      </c>
      <c r="CW249" s="20">
        <f t="shared" ca="1" si="249"/>
        <v>1.3485915492957747</v>
      </c>
      <c r="CX249" s="20">
        <f t="shared" ca="1" si="250"/>
        <v>0.89906103286384986</v>
      </c>
      <c r="CY249" s="20">
        <f t="shared" ca="1" si="251"/>
        <v>0.53943661971830992</v>
      </c>
      <c r="CZ249" s="20">
        <f t="shared" ca="1" si="252"/>
        <v>0.29968701095461658</v>
      </c>
      <c r="DA249" s="20">
        <f t="shared" ca="1" si="253"/>
        <v>0.15865782932891467</v>
      </c>
      <c r="DB249" s="20">
        <f t="shared" ca="1" si="254"/>
        <v>8.1732821169440889E-2</v>
      </c>
      <c r="DC249" s="20">
        <f t="shared" ca="1" si="255"/>
        <v>4.1495124593716147E-2</v>
      </c>
      <c r="DD249" s="21">
        <f t="shared" ca="1" si="256"/>
        <v>-4.1495124593716147E-2</v>
      </c>
      <c r="DE249" s="21">
        <f t="shared" ca="1" si="257"/>
        <v>-8.1732821169440889E-2</v>
      </c>
      <c r="DF249" s="21">
        <f t="shared" ca="1" si="258"/>
        <v>-0.15865782932891467</v>
      </c>
      <c r="DG249" s="21">
        <f t="shared" ca="1" si="259"/>
        <v>-0.29968701095461658</v>
      </c>
      <c r="DH249" s="21">
        <f t="shared" ca="1" si="260"/>
        <v>-0.53943661971830992</v>
      </c>
      <c r="DI249" s="21">
        <f t="shared" ca="1" si="261"/>
        <v>-0.89906103286384986</v>
      </c>
      <c r="DJ249" s="21">
        <f t="shared" ca="1" si="262"/>
        <v>-1.3485915492957747</v>
      </c>
      <c r="DL249" s="16" cm="1">
        <f t="array" aca="1" ref="DL249" ca="1">MAX(_xlfn._xlws.FILTER(CW249:DJ249,CW249:DJ249&lt;BU249))</f>
        <v>-4.1495124593716147E-2</v>
      </c>
      <c r="DM249" s="16" cm="1">
        <f t="array" aca="1" ref="DM249" ca="1">MIN(_xlfn._xlws.FILTER(CW249:DJ249,CW249:DJ249&gt;BU249))</f>
        <v>4.1495124593716147E-2</v>
      </c>
      <c r="DN249" s="2" cm="1">
        <f t="array" aca="1" ref="DN249" ca="1">_FV(EC249,"Fechamento anterior",TRUE)</f>
        <v>0.52</v>
      </c>
      <c r="DO249" s="28">
        <f t="shared" ca="1" si="235"/>
        <v>0.26827676240208903</v>
      </c>
      <c r="DP249" s="15">
        <f t="shared" ca="1" si="263"/>
        <v>0.49842253521126761</v>
      </c>
      <c r="DQ249" s="15">
        <f t="shared" ca="1" si="264"/>
        <v>0.54157746478873237</v>
      </c>
      <c r="DR249" s="9"/>
      <c r="DS249" s="9"/>
      <c r="DT249" s="9"/>
      <c r="DU249" s="89">
        <v>8.4949832775919734E-2</v>
      </c>
      <c r="DV249" s="89">
        <f t="shared" ca="1" si="236"/>
        <v>8.2990249187432294E-2</v>
      </c>
      <c r="DW249" s="72">
        <f t="shared" ca="1" si="237"/>
        <v>0.37108265673504759</v>
      </c>
      <c r="DX249" s="37"/>
      <c r="DY249" s="35">
        <f t="shared" si="247"/>
        <v>4.7159304490206375E-2</v>
      </c>
      <c r="DZ249" s="56"/>
      <c r="EA249" s="56"/>
      <c r="EC249" s="2" t="e" vm="251">
        <v>#VALUE!</v>
      </c>
      <c r="EE249" s="10" cm="1">
        <f t="array" aca="1" ref="EE249" ca="1">_FV(EC249,"Ações em circulação",TRUE)</f>
        <v>330121700</v>
      </c>
      <c r="EF249" s="18">
        <f>VLOOKUP(BP249,Fundamentus!A:U,5,FALSE)</f>
        <v>9.8000000000000004E-2</v>
      </c>
      <c r="EG249" s="2">
        <f t="shared" ca="1" si="238"/>
        <v>1717980275.5102041</v>
      </c>
      <c r="EH249" s="17">
        <v>14558680248.756121</v>
      </c>
      <c r="EI249" s="17">
        <f t="shared" ca="1" si="239"/>
        <v>14558680248.756121</v>
      </c>
      <c r="EK249" s="16">
        <f t="shared" ca="1" si="226"/>
        <v>0</v>
      </c>
      <c r="EL249" s="32" t="str">
        <f>IF(VLOOKUP(BP249,Fundamentus!A:U,3,FALSE)&lt;15,"Bom",IF(VLOOKUP(BP249,Fundamentus!A:U,3,FALSE)&gt;15,"Ruim","n/a"))</f>
        <v>Bom</v>
      </c>
      <c r="EM249" s="28" t="str">
        <f>IF(VLOOKUP(BP249,Fundamentus!A:U,4,FALSE)&lt;1,"Baixo",IF(VLOOKUP(BP249,Fundamentus!A:U,4,FALSE)&lt;1.5,"Moderado",IF(VLOOKUP(BP249,Fundamentus!A:U,4,FALSE)&gt;1.5,"Alto","n/a")))</f>
        <v>Baixo</v>
      </c>
      <c r="EN249" s="17" t="str">
        <f>IF(VLOOKUP(BP249,Fundamentus!A:U,8,FALSE)&lt;0,"Risco elevado",IF(VLOOKUP(BP249,Fundamentus!A:U,8,FALSE)&lt;1,"Saudável",IF(VLOOKUP(BP249,Fundamentus!A:U,8,FALSE)&lt;3,"Estável",IF(VLOOKUP(BP249,Fundamentus!A:U,8,FALSE)&gt;3,"Alerta","n/a"))))</f>
        <v>Risco elevado</v>
      </c>
      <c r="EO249" s="28" t="str">
        <f t="shared" si="240"/>
        <v>Ruim</v>
      </c>
      <c r="EP249" s="17" t="str">
        <f>IF(VLOOKUP(BP249,Fundamentus!A:U,12,FALSE)&lt;2,"Subvalorizada",IF(VLOOKUP(BP249,Fundamentus!A:U,12,FALSE)&lt;6,"Muita barata",IF(VLOOKUP(BP249,Fundamentus!A:U,12,FALSE)&lt;6,"Barata",IF(VLOOKUP(BP249,Fundamentus!A:U,12,FALSE)&lt;8,"Atrativa",IF(VLOOKUP(BP249,Fundamentus!A:U,12,FALSE)&gt;8,"Supervalorizada","n/a")))))</f>
        <v>Subvalorizada</v>
      </c>
      <c r="ER249" s="17" t="str">
        <f>IF(VLOOKUP(BP249,Fundamentus!A:U,17,FALSE)&lt;0.1,"Fraco retorno",IF(VLOOKUP(BP249,Fundamentus!A:U,17,FALSE)&gt;0.1,"Bom retorno","n/a"))</f>
        <v>Fraco retorno</v>
      </c>
      <c r="ES249" s="17" t="str">
        <f>IF(VLOOKUP(BP249,Fundamentus!A:U,16,FALSE)&lt;0.1,"Ineficiente",IF(VLOOKUP(BP249,Fundamentus!A:U,16,FALSE)&gt;0.1,"Eficiente","n/a"))</f>
        <v>Ineficiente</v>
      </c>
      <c r="ET249" s="33" t="str">
        <f>IF(VLOOKUP(BP249,Fundamentus!A:U,16,FALSE)&lt;0.1,"Oper. Ineficiente",IF(VLOOKUP(BP249,Fundamentus!A:U,16,FALSE)&gt;0.1,"Oper.Eficiente","n/a"))</f>
        <v>Oper. Ineficiente</v>
      </c>
      <c r="EU249" s="34">
        <f>VLOOKUP(BP249,Fundamentus!A:U,14,FALSE)</f>
        <v>8.4742999999999995</v>
      </c>
      <c r="EV249" s="17" t="str">
        <f>IF(VLOOKUP(BP249,Fundamentus!A:U,21,FALSE)&lt;0,"Negativo",IF(VLOOKUP(BP249,Fundamentus!A:U,21,FALSE)&lt;0.05,"Fraco",IF(VLOOKUP(BP249,Fundamentus!A:U,21,FALSE)&lt;0.1,"Bom",IF(VLOOKUP(BP249,Fundamentus!A:U,21,FALSE)&gt;0.1,"Muito bom","n/a"))))</f>
        <v>Negativo</v>
      </c>
      <c r="EX249" s="29" t="str">
        <f>IF(VLOOKUP(BP249,Fundamentus!A:U,15,FALSE)&gt;1,"Bom",IF(VLOOKUP(BP249,Fundamentus!A:U,15,FALSE)&lt;1,"Ruim","n/a"))</f>
        <v>Ruim</v>
      </c>
      <c r="EY249" s="17" t="str">
        <f>IF(VLOOKUP(BP249,Fundamentus!A:U,20,FALSE)&lt;0.5,"Baixa",IF(VLOOKUP(BP249,Fundamentus!A:U,20,FALSE)&lt;1,"Moderada",IF(VLOOKUP(BP249,Fundamentus!A:U,20,FALSE)&lt;2,"Alerta",IF(VLOOKUP(BP249,Fundamentus!A:U,20,FALSE)&gt;2,"Alta","n/a"))))</f>
        <v>Baixa</v>
      </c>
    </row>
    <row r="250" spans="1:155" s="2" customFormat="1" ht="11.25" x14ac:dyDescent="0.2">
      <c r="A250" s="4">
        <v>14.74</v>
      </c>
      <c r="B250" s="4">
        <v>14.54</v>
      </c>
      <c r="C250" s="4">
        <v>14.33</v>
      </c>
      <c r="D250" s="4">
        <v>13.98</v>
      </c>
      <c r="E250" s="4">
        <v>13.63</v>
      </c>
      <c r="F250" s="4">
        <v>12.72</v>
      </c>
      <c r="G250" s="4">
        <v>12.67</v>
      </c>
      <c r="H250" s="4">
        <v>12.89</v>
      </c>
      <c r="I250" s="4">
        <v>13.52</v>
      </c>
      <c r="J250" s="4">
        <v>14.1</v>
      </c>
      <c r="K250" s="4">
        <v>14.28</v>
      </c>
      <c r="L250" s="4">
        <v>14.03</v>
      </c>
      <c r="M250" s="4">
        <v>13.7</v>
      </c>
      <c r="N250" s="4">
        <v>13</v>
      </c>
      <c r="O250" s="4">
        <v>13.61</v>
      </c>
      <c r="P250" s="4">
        <v>13.42</v>
      </c>
      <c r="Q250" s="4">
        <v>13.97</v>
      </c>
      <c r="R250" s="4">
        <v>13.36</v>
      </c>
      <c r="S250" s="4">
        <v>12.89</v>
      </c>
      <c r="T250" s="4">
        <v>13.04</v>
      </c>
      <c r="U250" s="4">
        <v>12.56</v>
      </c>
      <c r="V250" s="4">
        <v>13.15</v>
      </c>
      <c r="W250" s="4">
        <v>13.25</v>
      </c>
      <c r="X250" s="4">
        <v>12.1</v>
      </c>
      <c r="Y250" s="4">
        <v>11.52</v>
      </c>
      <c r="Z250" s="4">
        <v>11.75</v>
      </c>
      <c r="AA250" s="4">
        <v>11.5</v>
      </c>
      <c r="AB250" s="4">
        <v>11.73</v>
      </c>
      <c r="AC250" s="4">
        <v>11.3</v>
      </c>
      <c r="AD250" s="4">
        <v>11.13</v>
      </c>
      <c r="AE250" s="4">
        <v>10.199999999999999</v>
      </c>
      <c r="AF250" s="4">
        <v>9.4</v>
      </c>
      <c r="AG250" s="4">
        <v>8.91</v>
      </c>
      <c r="AH250" s="4">
        <v>8.5399999999999991</v>
      </c>
      <c r="AI250" s="4">
        <v>8.16</v>
      </c>
      <c r="AJ250" s="4">
        <v>8.0500000000000007</v>
      </c>
      <c r="AK250" s="4">
        <v>8.11</v>
      </c>
      <c r="AL250" s="4">
        <v>8.1999999999999993</v>
      </c>
      <c r="AM250" s="4">
        <v>7.56</v>
      </c>
      <c r="AN250" s="4">
        <v>7.74</v>
      </c>
      <c r="AO250" s="4">
        <v>7.18</v>
      </c>
      <c r="AP250" s="4">
        <v>7.58</v>
      </c>
      <c r="AQ250" s="4">
        <v>7.29</v>
      </c>
      <c r="AR250" s="4">
        <v>7.09</v>
      </c>
      <c r="AS250" s="4">
        <v>7.27</v>
      </c>
      <c r="AT250" s="4">
        <v>7.47</v>
      </c>
      <c r="AU250" s="4">
        <v>7.77</v>
      </c>
      <c r="AV250" s="4">
        <v>7.63</v>
      </c>
      <c r="AW250" s="4">
        <v>7.24</v>
      </c>
      <c r="AX250" s="4">
        <v>7.04</v>
      </c>
      <c r="AY250" s="12">
        <v>7.17</v>
      </c>
      <c r="AZ250" s="12">
        <v>7.71</v>
      </c>
      <c r="BA250" s="12">
        <v>7.77</v>
      </c>
      <c r="BB250" s="15">
        <v>7.99</v>
      </c>
      <c r="BC250" s="52">
        <v>7.72</v>
      </c>
      <c r="BD250" s="52">
        <v>8.02</v>
      </c>
      <c r="BE250" s="52">
        <v>8.23</v>
      </c>
      <c r="BF250" s="52">
        <v>8.06</v>
      </c>
      <c r="BG250" s="67">
        <v>8.1199999999999992</v>
      </c>
      <c r="BH250" s="52">
        <v>7.28</v>
      </c>
      <c r="BI250" s="52">
        <v>6.74</v>
      </c>
      <c r="BJ250" s="52">
        <v>7.14</v>
      </c>
      <c r="BK250" s="52">
        <v>6.38</v>
      </c>
      <c r="BL250" s="52">
        <v>5.96</v>
      </c>
      <c r="BM250" s="52">
        <v>6.02</v>
      </c>
      <c r="BN250" s="52">
        <v>5.82</v>
      </c>
      <c r="BO250" s="52" cm="1">
        <f t="array" aca="1" ref="BO250" ca="1">_FV(EC250,"Preço")</f>
        <v>5.82</v>
      </c>
      <c r="BP250" s="69" t="s">
        <v>246</v>
      </c>
      <c r="BQ250" s="36" cm="1">
        <f t="array" aca="1" ref="BQ250" ca="1">_FV(EC250,"Média de volume",TRUE)</f>
        <v>19302340</v>
      </c>
      <c r="BR250" s="36">
        <v>34053300</v>
      </c>
      <c r="BS250" s="36" cm="1">
        <f t="array" aca="1" ref="BS250" ca="1">_FV(EC250,"Volume")</f>
        <v>34053300</v>
      </c>
      <c r="BT250" s="24" cm="1">
        <f t="array" aca="1" ref="BT250" ca="1">_FV(EC250,"Beta")</f>
        <v>1.1593</v>
      </c>
      <c r="BU250" s="71" cm="1">
        <f t="array" aca="1" ref="BU250" ca="1">_FV(EC250,"Variação (%)",TRUE)</f>
        <v>-1.8550000000000001E-2</v>
      </c>
      <c r="BW250" s="17" cm="1">
        <f t="array" aca="1" ref="BW250" ca="1">_FV(EC250,"Baixo")</f>
        <v>5.82</v>
      </c>
      <c r="BX250" s="17" cm="1">
        <f t="array" aca="1" ref="BX250" ca="1">_FV(EC250,"Alto")</f>
        <v>6.1</v>
      </c>
      <c r="BY250" s="24"/>
      <c r="BZ250" s="63" t="e">
        <f ca="1">SQRT(22.5*(BO250/VLOOKUP(BP250,Fundamentus!A:U,3,FALSE))*(BO250/VLOOKUP(BP250,Fundamentus!A:U,4,FALSE)))</f>
        <v>#NUM!</v>
      </c>
      <c r="CB250" s="62">
        <f t="shared" ca="1" si="241"/>
        <v>0</v>
      </c>
      <c r="CC250" s="8"/>
      <c r="CD250" s="61">
        <f t="shared" si="242"/>
        <v>5.82</v>
      </c>
      <c r="CE250" s="61">
        <f t="shared" si="243"/>
        <v>14.74</v>
      </c>
      <c r="CF250" s="61">
        <f t="shared" si="244"/>
        <v>10.10560606060606</v>
      </c>
      <c r="CG250" s="14"/>
      <c r="CH250" s="35">
        <f t="shared" si="227"/>
        <v>4.6892445109283836</v>
      </c>
      <c r="CI250" s="15">
        <f t="shared" si="245"/>
        <v>5.6400000000001</v>
      </c>
      <c r="CJ250" s="35">
        <f t="shared" si="228"/>
        <v>6.5907554890718165</v>
      </c>
      <c r="CL250" s="14"/>
      <c r="CM250" s="17">
        <f t="shared" si="229"/>
        <v>-6.0733333333333306</v>
      </c>
      <c r="CN250" s="17">
        <f t="shared" si="230"/>
        <v>-0.12666666666666515</v>
      </c>
      <c r="CO250" s="17">
        <f t="shared" si="231"/>
        <v>2.8466666666666693</v>
      </c>
      <c r="CP250" s="38">
        <f t="shared" si="246"/>
        <v>8.7933333333333348</v>
      </c>
      <c r="CQ250" s="17">
        <f t="shared" si="232"/>
        <v>11.766666666666669</v>
      </c>
      <c r="CR250" s="17">
        <f t="shared" si="233"/>
        <v>17.713333333333335</v>
      </c>
      <c r="CS250" s="17">
        <f t="shared" si="234"/>
        <v>20.686666666666667</v>
      </c>
      <c r="CT250" s="2" cm="1">
        <f t="array" aca="1" ref="CT250" ca="1">MAX(_xlfn._xlws.FILTER(CM250:CS250,CM250:CS250&lt;BO250))</f>
        <v>2.8466666666666693</v>
      </c>
      <c r="CU250" s="2" cm="1">
        <f t="array" aca="1" ref="CU250" ca="1">MIN(_xlfn._xlws.FILTER($CM250:$CS250,$CM250:$CS250&gt;BO250))</f>
        <v>8.7933333333333348</v>
      </c>
      <c r="CV250" s="16">
        <f t="shared" ca="1" si="248"/>
        <v>2.0889929742388733</v>
      </c>
      <c r="CW250" s="20">
        <f t="shared" ca="1" si="249"/>
        <v>-1.0444964871194367</v>
      </c>
      <c r="CX250" s="20">
        <f t="shared" ca="1" si="250"/>
        <v>-0.69633099141295773</v>
      </c>
      <c r="CY250" s="20">
        <f t="shared" ca="1" si="251"/>
        <v>-0.41779859484777465</v>
      </c>
      <c r="CZ250" s="20">
        <f t="shared" ca="1" si="252"/>
        <v>-0.23211033047098592</v>
      </c>
      <c r="DA250" s="20">
        <f t="shared" ca="1" si="253"/>
        <v>-0.12288193966111019</v>
      </c>
      <c r="DB250" s="20">
        <f t="shared" ca="1" si="254"/>
        <v>-6.3302817401177977E-2</v>
      </c>
      <c r="DC250" s="20">
        <f t="shared" ca="1" si="255"/>
        <v>-3.2138353449828821E-2</v>
      </c>
      <c r="DD250" s="21">
        <f t="shared" ca="1" si="256"/>
        <v>3.2138353449828821E-2</v>
      </c>
      <c r="DE250" s="21">
        <f t="shared" ca="1" si="257"/>
        <v>6.3302817401177977E-2</v>
      </c>
      <c r="DF250" s="21">
        <f t="shared" ca="1" si="258"/>
        <v>0.12288193966111019</v>
      </c>
      <c r="DG250" s="21">
        <f t="shared" ca="1" si="259"/>
        <v>0.23211033047098592</v>
      </c>
      <c r="DH250" s="21">
        <f t="shared" ca="1" si="260"/>
        <v>0.41779859484777465</v>
      </c>
      <c r="DI250" s="21">
        <f t="shared" ca="1" si="261"/>
        <v>0.69633099141295773</v>
      </c>
      <c r="DJ250" s="21">
        <f t="shared" ca="1" si="262"/>
        <v>1.0444964871194367</v>
      </c>
      <c r="DL250" s="16" cm="1">
        <f t="array" aca="1" ref="DL250" ca="1">MAX(_xlfn._xlws.FILTER(CW250:DJ250,CW250:DJ250&lt;BU250))</f>
        <v>-3.2138353449828821E-2</v>
      </c>
      <c r="DM250" s="16" cm="1">
        <f t="array" aca="1" ref="DM250" ca="1">MIN(_xlfn._xlws.FILTER(CW250:DJ250,CW250:DJ250&gt;BU250))</f>
        <v>3.2138353449828821E-2</v>
      </c>
      <c r="DN250" s="2" cm="1">
        <f t="array" aca="1" ref="DN250" ca="1">_FV(EC250,"Fechamento anterior",TRUE)</f>
        <v>5.93</v>
      </c>
      <c r="DO250" s="28">
        <f t="shared" ca="1" si="235"/>
        <v>0.21140794319376405</v>
      </c>
      <c r="DP250" s="15">
        <f t="shared" ca="1" si="263"/>
        <v>5.7394195640425147</v>
      </c>
      <c r="DQ250" s="15">
        <f t="shared" ca="1" si="264"/>
        <v>6.1205804359574847</v>
      </c>
      <c r="DR250" s="9"/>
      <c r="DS250" s="9"/>
      <c r="DT250" s="9"/>
      <c r="DU250" s="89">
        <v>5.9374471682163997E-2</v>
      </c>
      <c r="DV250" s="89">
        <f t="shared" ca="1" si="236"/>
        <v>6.4276706899657643E-2</v>
      </c>
      <c r="DW250" s="72">
        <f t="shared" ca="1" si="237"/>
        <v>0.18932312468229426</v>
      </c>
      <c r="DX250" s="37"/>
      <c r="DY250" s="35">
        <f t="shared" si="247"/>
        <v>0.4753777445358584</v>
      </c>
      <c r="DZ250" s="56"/>
      <c r="EA250" s="56"/>
      <c r="EC250" s="2" t="e" vm="252">
        <v>#VALUE!</v>
      </c>
      <c r="EE250" s="10" cm="1">
        <f t="array" aca="1" ref="EE250" ca="1">_FV(EC250,"Ações em circulação",TRUE)</f>
        <v>1866571000</v>
      </c>
      <c r="EF250" s="18">
        <f>VLOOKUP(BP250,Fundamentus!A:U,5,FALSE)</f>
        <v>0.25</v>
      </c>
      <c r="EG250" s="2">
        <f t="shared" ca="1" si="238"/>
        <v>43453772880</v>
      </c>
      <c r="EH250" s="17">
        <v>-10285508040.695999</v>
      </c>
      <c r="EI250" s="17">
        <f t="shared" ca="1" si="239"/>
        <v>-10285508040.695999</v>
      </c>
      <c r="EK250" s="16">
        <f t="shared" ca="1" si="226"/>
        <v>0</v>
      </c>
      <c r="EL250" s="32" t="str">
        <f>IF(VLOOKUP(BP250,Fundamentus!A:U,3,FALSE)&lt;15,"Bom",IF(VLOOKUP(BP250,Fundamentus!A:U,3,FALSE)&gt;15,"Ruim","n/a"))</f>
        <v>Bom</v>
      </c>
      <c r="EM250" s="28" t="str">
        <f>IF(VLOOKUP(BP250,Fundamentus!A:U,4,FALSE)&lt;1,"Baixo",IF(VLOOKUP(BP250,Fundamentus!A:U,4,FALSE)&lt;1.5,"Moderado",IF(VLOOKUP(BP250,Fundamentus!A:U,4,FALSE)&gt;1.5,"Alto","n/a")))</f>
        <v>Moderado</v>
      </c>
      <c r="EN250" s="17" t="str">
        <f>IF(VLOOKUP(BP250,Fundamentus!A:U,8,FALSE)&lt;0,"Risco elevado",IF(VLOOKUP(BP250,Fundamentus!A:U,8,FALSE)&lt;1,"Saudável",IF(VLOOKUP(BP250,Fundamentus!A:U,8,FALSE)&lt;3,"Estável",IF(VLOOKUP(BP250,Fundamentus!A:U,8,FALSE)&gt;3,"Alerta","n/a"))))</f>
        <v>Saudável</v>
      </c>
      <c r="EO250" s="28" t="str">
        <f t="shared" si="240"/>
        <v>Ruim</v>
      </c>
      <c r="EP250" s="17" t="str">
        <f>IF(VLOOKUP(BP250,Fundamentus!A:U,12,FALSE)&lt;2,"Subvalorizada",IF(VLOOKUP(BP250,Fundamentus!A:U,12,FALSE)&lt;6,"Muita barata",IF(VLOOKUP(BP250,Fundamentus!A:U,12,FALSE)&lt;6,"Barata",IF(VLOOKUP(BP250,Fundamentus!A:U,12,FALSE)&lt;8,"Atrativa",IF(VLOOKUP(BP250,Fundamentus!A:U,12,FALSE)&gt;8,"Supervalorizada","n/a")))))</f>
        <v>Muita barata</v>
      </c>
      <c r="ER250" s="17" t="str">
        <f>IF(VLOOKUP(BP250,Fundamentus!A:U,17,FALSE)&lt;0.1,"Fraco retorno",IF(VLOOKUP(BP250,Fundamentus!A:U,17,FALSE)&gt;0.1,"Bom retorno","n/a"))</f>
        <v>Fraco retorno</v>
      </c>
      <c r="ES250" s="17" t="str">
        <f>IF(VLOOKUP(BP250,Fundamentus!A:U,16,FALSE)&lt;0.1,"Ineficiente",IF(VLOOKUP(BP250,Fundamentus!A:U,16,FALSE)&gt;0.1,"Eficiente","n/a"))</f>
        <v>Ineficiente</v>
      </c>
      <c r="ET250" s="33" t="str">
        <f>IF(VLOOKUP(BP250,Fundamentus!A:U,16,FALSE)&lt;0.1,"Oper. Ineficiente",IF(VLOOKUP(BP250,Fundamentus!A:U,16,FALSE)&gt;0.1,"Oper.Eficiente","n/a"))</f>
        <v>Oper. Ineficiente</v>
      </c>
      <c r="EU250" s="34">
        <f>VLOOKUP(BP250,Fundamentus!A:U,14,FALSE)</f>
        <v>-0.23669999999999999</v>
      </c>
      <c r="EV250" s="17" t="str">
        <f>IF(VLOOKUP(BP250,Fundamentus!A:U,21,FALSE)&lt;0,"Negativo",IF(VLOOKUP(BP250,Fundamentus!A:U,21,FALSE)&lt;0.05,"Fraco",IF(VLOOKUP(BP250,Fundamentus!A:U,21,FALSE)&lt;0.1,"Bom",IF(VLOOKUP(BP250,Fundamentus!A:U,21,FALSE)&gt;0.1,"Muito bom","n/a"))))</f>
        <v>Muito bom</v>
      </c>
      <c r="EX250" s="29" t="str">
        <f>IF(VLOOKUP(BP250,Fundamentus!A:U,15,FALSE)&gt;1,"Bom",IF(VLOOKUP(BP250,Fundamentus!A:U,15,FALSE)&lt;1,"Ruim","n/a"))</f>
        <v>Bom</v>
      </c>
      <c r="EY250" s="17" t="str">
        <f>IF(VLOOKUP(BP250,Fundamentus!A:U,20,FALSE)&lt;0.5,"Baixa",IF(VLOOKUP(BP250,Fundamentus!A:U,20,FALSE)&lt;1,"Moderada",IF(VLOOKUP(BP250,Fundamentus!A:U,20,FALSE)&lt;2,"Alerta",IF(VLOOKUP(BP250,Fundamentus!A:U,20,FALSE)&gt;2,"Alta","n/a"))))</f>
        <v>Alta</v>
      </c>
    </row>
    <row r="251" spans="1:155" s="2" customFormat="1" ht="11.25" x14ac:dyDescent="0.2">
      <c r="A251" s="4">
        <v>22.31</v>
      </c>
      <c r="B251" s="4">
        <v>19.52</v>
      </c>
      <c r="C251" s="4">
        <v>19.8</v>
      </c>
      <c r="D251" s="4">
        <v>19.2</v>
      </c>
      <c r="E251" s="4">
        <v>19</v>
      </c>
      <c r="F251" s="4">
        <v>17.86</v>
      </c>
      <c r="G251" s="4">
        <v>18.739999999999998</v>
      </c>
      <c r="H251" s="4">
        <v>18.329999999999998</v>
      </c>
      <c r="I251" s="4">
        <v>18.12</v>
      </c>
      <c r="J251" s="4">
        <v>18.45</v>
      </c>
      <c r="K251" s="4">
        <v>19.440000000000001</v>
      </c>
      <c r="L251" s="4">
        <v>18.260000000000002</v>
      </c>
      <c r="M251" s="4">
        <v>18.13</v>
      </c>
      <c r="N251" s="4">
        <v>16.97</v>
      </c>
      <c r="O251" s="4">
        <v>17.72</v>
      </c>
      <c r="P251" s="4">
        <v>17.7</v>
      </c>
      <c r="Q251" s="4">
        <v>17.649999999999999</v>
      </c>
      <c r="R251" s="4">
        <v>17.920000000000002</v>
      </c>
      <c r="S251" s="4">
        <v>18.98</v>
      </c>
      <c r="T251" s="4">
        <v>18.920000000000002</v>
      </c>
      <c r="U251" s="4">
        <v>18.829999999999998</v>
      </c>
      <c r="V251" s="4">
        <v>20.29</v>
      </c>
      <c r="W251" s="4">
        <v>19.690000000000001</v>
      </c>
      <c r="X251" s="4">
        <v>18.36</v>
      </c>
      <c r="Y251" s="4">
        <v>17.61</v>
      </c>
      <c r="Z251" s="4">
        <v>17.02</v>
      </c>
      <c r="AA251" s="4">
        <v>17.07</v>
      </c>
      <c r="AB251" s="4">
        <v>15.79</v>
      </c>
      <c r="AC251" s="4">
        <v>15.2</v>
      </c>
      <c r="AD251" s="4">
        <v>15.51</v>
      </c>
      <c r="AE251" s="4">
        <v>15.26</v>
      </c>
      <c r="AF251" s="4">
        <v>15</v>
      </c>
      <c r="AG251" s="4">
        <v>13.28</v>
      </c>
      <c r="AH251" s="4">
        <v>12.53</v>
      </c>
      <c r="AI251" s="4">
        <v>12.35</v>
      </c>
      <c r="AJ251" s="4">
        <v>12.08</v>
      </c>
      <c r="AK251" s="4">
        <v>11.5</v>
      </c>
      <c r="AL251" s="4">
        <v>12.69</v>
      </c>
      <c r="AM251" s="4">
        <v>14.29</v>
      </c>
      <c r="AN251" s="4">
        <v>13.28</v>
      </c>
      <c r="AO251" s="4">
        <v>13.28</v>
      </c>
      <c r="AP251" s="4">
        <v>12.9</v>
      </c>
      <c r="AQ251" s="4">
        <v>12.82</v>
      </c>
      <c r="AR251" s="4">
        <v>10.86</v>
      </c>
      <c r="AS251" s="4">
        <v>10.8</v>
      </c>
      <c r="AT251" s="4">
        <v>11.19</v>
      </c>
      <c r="AU251" s="4">
        <v>11.01</v>
      </c>
      <c r="AV251" s="4">
        <v>11.8</v>
      </c>
      <c r="AW251" s="4">
        <v>10.35</v>
      </c>
      <c r="AX251" s="4">
        <v>10.43</v>
      </c>
      <c r="AY251" s="12">
        <v>10.31</v>
      </c>
      <c r="AZ251" s="12">
        <v>11.36</v>
      </c>
      <c r="BA251" s="12">
        <v>10.8</v>
      </c>
      <c r="BB251" s="15">
        <v>11.18</v>
      </c>
      <c r="BC251" s="52">
        <v>10.65</v>
      </c>
      <c r="BD251" s="52">
        <v>10.99</v>
      </c>
      <c r="BE251" s="52">
        <v>11.65</v>
      </c>
      <c r="BF251" s="52">
        <v>10.97</v>
      </c>
      <c r="BG251" s="67">
        <v>11.01</v>
      </c>
      <c r="BH251" s="52">
        <v>10.4</v>
      </c>
      <c r="BI251" s="52">
        <v>9.5</v>
      </c>
      <c r="BJ251" s="52">
        <v>9.8000000000000007</v>
      </c>
      <c r="BK251" s="52">
        <v>10.02</v>
      </c>
      <c r="BL251" s="52">
        <v>9</v>
      </c>
      <c r="BM251" s="52">
        <v>9.32</v>
      </c>
      <c r="BN251" s="52">
        <v>8.91</v>
      </c>
      <c r="BO251" s="52" cm="1">
        <f t="array" aca="1" ref="BO251" ca="1">_FV(EC251,"Preço")</f>
        <v>8.91</v>
      </c>
      <c r="BP251" s="69" t="s">
        <v>247</v>
      </c>
      <c r="BQ251" s="36" cm="1">
        <f t="array" aca="1" ref="BQ251" ca="1">_FV(EC251,"Média de volume",TRUE)</f>
        <v>3688470</v>
      </c>
      <c r="BR251" s="36">
        <v>16200</v>
      </c>
      <c r="BS251" s="36" cm="1">
        <f t="array" aca="1" ref="BS251" ca="1">_FV(EC251,"Volume")</f>
        <v>16200</v>
      </c>
      <c r="BT251" s="24" cm="1">
        <f t="array" aca="1" ref="BT251" ca="1">_FV(EC251,"Beta")</f>
        <v>1.0738000000000001</v>
      </c>
      <c r="BU251" s="71" cm="1">
        <f t="array" aca="1" ref="BU251" ca="1">_FV(EC251,"Variação (%)",TRUE)</f>
        <v>-2.0878999999999998E-2</v>
      </c>
      <c r="BW251" s="17" cm="1">
        <f t="array" aca="1" ref="BW251" ca="1">_FV(EC251,"Baixo")</f>
        <v>8.91</v>
      </c>
      <c r="BX251" s="17" cm="1">
        <f t="array" aca="1" ref="BX251" ca="1">_FV(EC251,"Alto")</f>
        <v>9.31</v>
      </c>
      <c r="BY251" s="24"/>
      <c r="BZ251" s="63">
        <f ca="1">SQRT(22.5*(BO251/VLOOKUP(BP251,Fundamentus!A:U,3,FALSE))*(BO251/VLOOKUP(BP251,Fundamentus!A:U,4,FALSE)))</f>
        <v>36.256943849874339</v>
      </c>
      <c r="CB251" s="62">
        <f t="shared" ca="1" si="241"/>
        <v>0</v>
      </c>
      <c r="CC251" s="8"/>
      <c r="CD251" s="61">
        <f t="shared" si="242"/>
        <v>8.91</v>
      </c>
      <c r="CE251" s="61">
        <f t="shared" si="243"/>
        <v>22.31</v>
      </c>
      <c r="CF251" s="61">
        <f t="shared" si="244"/>
        <v>14.575151515151513</v>
      </c>
      <c r="CG251" s="14"/>
      <c r="CH251" s="35">
        <f t="shared" si="227"/>
        <v>7.688036698019868</v>
      </c>
      <c r="CI251" s="15">
        <f t="shared" si="245"/>
        <v>8.5599999999999454</v>
      </c>
      <c r="CJ251" s="35">
        <f t="shared" si="228"/>
        <v>9.4319633019800229</v>
      </c>
      <c r="CL251" s="14"/>
      <c r="CM251" s="17">
        <f t="shared" si="229"/>
        <v>-8.956666666666667</v>
      </c>
      <c r="CN251" s="17">
        <f t="shared" si="230"/>
        <v>-2.3333333333333428E-2</v>
      </c>
      <c r="CO251" s="17">
        <f t="shared" si="231"/>
        <v>4.4433333333333316</v>
      </c>
      <c r="CP251" s="38">
        <f t="shared" si="246"/>
        <v>13.376666666666665</v>
      </c>
      <c r="CQ251" s="17">
        <f t="shared" si="232"/>
        <v>17.84333333333333</v>
      </c>
      <c r="CR251" s="17">
        <f t="shared" si="233"/>
        <v>26.776666666666664</v>
      </c>
      <c r="CS251" s="17">
        <f t="shared" si="234"/>
        <v>31.243333333333329</v>
      </c>
      <c r="CT251" s="2" cm="1">
        <f t="array" aca="1" ref="CT251" ca="1">MAX(_xlfn._xlws.FILTER(CM251:CS251,CM251:CS251&lt;BO251))</f>
        <v>4.4433333333333316</v>
      </c>
      <c r="CU251" s="2" cm="1">
        <f t="array" aca="1" ref="CU251" ca="1">MIN(_xlfn._xlws.FILTER($CM251:$CS251,$CM251:$CS251&gt;BO251))</f>
        <v>13.376666666666665</v>
      </c>
      <c r="CV251" s="16">
        <f t="shared" ca="1" si="248"/>
        <v>2.0105026256564149</v>
      </c>
      <c r="CW251" s="20">
        <f t="shared" ca="1" si="249"/>
        <v>-1.0052513128282075</v>
      </c>
      <c r="CX251" s="20">
        <f t="shared" ca="1" si="250"/>
        <v>-0.67016754188547167</v>
      </c>
      <c r="CY251" s="20">
        <f t="shared" ca="1" si="251"/>
        <v>-0.40210052513128297</v>
      </c>
      <c r="CZ251" s="20">
        <f t="shared" ca="1" si="252"/>
        <v>-0.22338918062849056</v>
      </c>
      <c r="DA251" s="20">
        <f t="shared" ca="1" si="253"/>
        <v>-0.11826486033273029</v>
      </c>
      <c r="DB251" s="20">
        <f t="shared" ca="1" si="254"/>
        <v>-6.0924321989588331E-2</v>
      </c>
      <c r="DC251" s="20">
        <f t="shared" ca="1" si="255"/>
        <v>-3.0930809625483308E-2</v>
      </c>
      <c r="DD251" s="21">
        <f t="shared" ca="1" si="256"/>
        <v>3.0930809625483308E-2</v>
      </c>
      <c r="DE251" s="21">
        <f t="shared" ca="1" si="257"/>
        <v>6.0924321989588331E-2</v>
      </c>
      <c r="DF251" s="21">
        <f t="shared" ca="1" si="258"/>
        <v>0.11826486033273029</v>
      </c>
      <c r="DG251" s="21">
        <f t="shared" ca="1" si="259"/>
        <v>0.22338918062849056</v>
      </c>
      <c r="DH251" s="21">
        <f t="shared" ca="1" si="260"/>
        <v>0.40210052513128297</v>
      </c>
      <c r="DI251" s="21">
        <f t="shared" ca="1" si="261"/>
        <v>0.67016754188547167</v>
      </c>
      <c r="DJ251" s="21">
        <f t="shared" ca="1" si="262"/>
        <v>1.0052513128282075</v>
      </c>
      <c r="DL251" s="16" cm="1">
        <f t="array" aca="1" ref="DL251" ca="1">MAX(_xlfn._xlws.FILTER(CW251:DJ251,CW251:DJ251&lt;BU251))</f>
        <v>-3.0930809625483308E-2</v>
      </c>
      <c r="DM251" s="16" cm="1">
        <f t="array" aca="1" ref="DM251" ca="1">MIN(_xlfn._xlws.FILTER(CW251:DJ251,CW251:DJ251&gt;BU251))</f>
        <v>3.0930809625483308E-2</v>
      </c>
      <c r="DN251" s="2" cm="1">
        <f t="array" aca="1" ref="DN251" ca="1">_FV(EC251,"Fechamento anterior",TRUE)</f>
        <v>9.1</v>
      </c>
      <c r="DO251" s="28">
        <f t="shared" ca="1" si="235"/>
        <v>0.16248667377398909</v>
      </c>
      <c r="DP251" s="15">
        <f t="shared" ca="1" si="263"/>
        <v>8.8185296324081008</v>
      </c>
      <c r="DQ251" s="15">
        <f t="shared" ca="1" si="264"/>
        <v>9.3814703675918985</v>
      </c>
      <c r="DR251" s="9"/>
      <c r="DS251" s="9"/>
      <c r="DT251" s="9"/>
      <c r="DU251" s="89">
        <v>5.9830308478957081E-2</v>
      </c>
      <c r="DV251" s="89">
        <f t="shared" ca="1" si="236"/>
        <v>6.1861619250966615E-2</v>
      </c>
      <c r="DW251" s="72">
        <f t="shared" ca="1" si="237"/>
        <v>0.40139303936904847</v>
      </c>
      <c r="DX251" s="37"/>
      <c r="DY251" s="35">
        <f t="shared" si="247"/>
        <v>0.43598165099003877</v>
      </c>
      <c r="DZ251" s="56"/>
      <c r="EA251" s="56"/>
      <c r="EC251" s="2" t="e" vm="253">
        <v>#VALUE!</v>
      </c>
      <c r="EE251" s="10" cm="1">
        <f t="array" aca="1" ref="EE251" ca="1">_FV(EC251,"Ações em circulação",TRUE)</f>
        <v>797207800</v>
      </c>
      <c r="EF251" s="18">
        <f>VLOOKUP(BP251,Fundamentus!A:U,5,FALSE)</f>
        <v>9.1999999999999998E-2</v>
      </c>
      <c r="EG251" s="2">
        <f t="shared" ca="1" si="238"/>
        <v>77207842369.565216</v>
      </c>
      <c r="EH251" s="17">
        <v>-9805395980.934782</v>
      </c>
      <c r="EI251" s="17">
        <f t="shared" ca="1" si="239"/>
        <v>-9805395980.934782</v>
      </c>
      <c r="EK251" s="16">
        <f t="shared" ca="1" si="226"/>
        <v>0</v>
      </c>
      <c r="EL251" s="32" t="str">
        <f>IF(VLOOKUP(BP251,Fundamentus!A:U,3,FALSE)&lt;15,"Bom",IF(VLOOKUP(BP251,Fundamentus!A:U,3,FALSE)&gt;15,"Ruim","n/a"))</f>
        <v>Bom</v>
      </c>
      <c r="EM251" s="28" t="str">
        <f>IF(VLOOKUP(BP251,Fundamentus!A:U,4,FALSE)&lt;1,"Baixo",IF(VLOOKUP(BP251,Fundamentus!A:U,4,FALSE)&lt;1.5,"Moderado",IF(VLOOKUP(BP251,Fundamentus!A:U,4,FALSE)&gt;1.5,"Alto","n/a")))</f>
        <v>Baixo</v>
      </c>
      <c r="EN251" s="17" t="str">
        <f>IF(VLOOKUP(BP251,Fundamentus!A:U,8,FALSE)&lt;0,"Risco elevado",IF(VLOOKUP(BP251,Fundamentus!A:U,8,FALSE)&lt;1,"Saudável",IF(VLOOKUP(BP251,Fundamentus!A:U,8,FALSE)&lt;3,"Estável",IF(VLOOKUP(BP251,Fundamentus!A:U,8,FALSE)&gt;3,"Alerta","n/a"))))</f>
        <v>Saudável</v>
      </c>
      <c r="EO251" s="28" t="str">
        <f t="shared" si="240"/>
        <v>Ruim</v>
      </c>
      <c r="EP251" s="17" t="str">
        <f>IF(VLOOKUP(BP251,Fundamentus!A:U,12,FALSE)&lt;2,"Subvalorizada",IF(VLOOKUP(BP251,Fundamentus!A:U,12,FALSE)&lt;6,"Muita barata",IF(VLOOKUP(BP251,Fundamentus!A:U,12,FALSE)&lt;6,"Barata",IF(VLOOKUP(BP251,Fundamentus!A:U,12,FALSE)&lt;8,"Atrativa",IF(VLOOKUP(BP251,Fundamentus!A:U,12,FALSE)&gt;8,"Supervalorizada","n/a")))))</f>
        <v>Atrativa</v>
      </c>
      <c r="ER251" s="17" t="str">
        <f>IF(VLOOKUP(BP251,Fundamentus!A:U,17,FALSE)&lt;0.1,"Fraco retorno",IF(VLOOKUP(BP251,Fundamentus!A:U,17,FALSE)&gt;0.1,"Bom retorno","n/a"))</f>
        <v>Bom retorno</v>
      </c>
      <c r="ES251" s="17" t="str">
        <f>IF(VLOOKUP(BP251,Fundamentus!A:U,16,FALSE)&lt;0.1,"Ineficiente",IF(VLOOKUP(BP251,Fundamentus!A:U,16,FALSE)&gt;0.1,"Eficiente","n/a"))</f>
        <v>Ineficiente</v>
      </c>
      <c r="ET251" s="33" t="str">
        <f>IF(VLOOKUP(BP251,Fundamentus!A:U,16,FALSE)&lt;0.1,"Oper. Ineficiente",IF(VLOOKUP(BP251,Fundamentus!A:U,16,FALSE)&gt;0.1,"Oper.Eficiente","n/a"))</f>
        <v>Oper. Ineficiente</v>
      </c>
      <c r="EU251" s="34">
        <f>VLOOKUP(BP251,Fundamentus!A:U,14,FALSE)</f>
        <v>-0.127</v>
      </c>
      <c r="EV251" s="17" t="str">
        <f>IF(VLOOKUP(BP251,Fundamentus!A:U,21,FALSE)&lt;0,"Negativo",IF(VLOOKUP(BP251,Fundamentus!A:U,21,FALSE)&lt;0.05,"Fraco",IF(VLOOKUP(BP251,Fundamentus!A:U,21,FALSE)&lt;0.1,"Bom",IF(VLOOKUP(BP251,Fundamentus!A:U,21,FALSE)&gt;0.1,"Muito bom","n/a"))))</f>
        <v>Negativo</v>
      </c>
      <c r="EX251" s="29" t="str">
        <f>IF(VLOOKUP(BP251,Fundamentus!A:U,15,FALSE)&gt;1,"Bom",IF(VLOOKUP(BP251,Fundamentus!A:U,15,FALSE)&lt;1,"Ruim","n/a"))</f>
        <v>Bom</v>
      </c>
      <c r="EY251" s="17" t="str">
        <f>IF(VLOOKUP(BP251,Fundamentus!A:U,20,FALSE)&lt;0.5,"Baixa",IF(VLOOKUP(BP251,Fundamentus!A:U,20,FALSE)&lt;1,"Moderada",IF(VLOOKUP(BP251,Fundamentus!A:U,20,FALSE)&lt;2,"Alerta",IF(VLOOKUP(BP251,Fundamentus!A:U,20,FALSE)&gt;2,"Alta","n/a"))))</f>
        <v>Baixa</v>
      </c>
    </row>
    <row r="252" spans="1:155" s="2" customFormat="1" ht="11.25" x14ac:dyDescent="0.2">
      <c r="A252" s="4">
        <v>2.5499999999999998</v>
      </c>
      <c r="B252" s="4">
        <v>1.98</v>
      </c>
      <c r="C252" s="4">
        <v>2</v>
      </c>
      <c r="D252" s="4">
        <v>1.93</v>
      </c>
      <c r="E252" s="4">
        <v>1.8</v>
      </c>
      <c r="F252" s="4">
        <v>1.7</v>
      </c>
      <c r="G252" s="4">
        <v>1.56</v>
      </c>
      <c r="H252" s="4">
        <v>1.52</v>
      </c>
      <c r="I252" s="4">
        <v>1.48</v>
      </c>
      <c r="J252" s="4">
        <v>1.65</v>
      </c>
      <c r="K252" s="4">
        <v>1.7</v>
      </c>
      <c r="L252" s="4">
        <v>1.62</v>
      </c>
      <c r="M252" s="4">
        <v>1.54</v>
      </c>
      <c r="N252" s="4">
        <v>1.53</v>
      </c>
      <c r="O252" s="4">
        <v>1.32</v>
      </c>
      <c r="P252" s="4">
        <v>1.23</v>
      </c>
      <c r="Q252" s="4">
        <v>1.2</v>
      </c>
      <c r="R252" s="4">
        <v>1.0900000000000001</v>
      </c>
      <c r="S252" s="4">
        <v>0.98</v>
      </c>
      <c r="T252" s="4">
        <v>0.96</v>
      </c>
      <c r="U252" s="4">
        <v>1.01</v>
      </c>
      <c r="V252" s="4">
        <v>1.05</v>
      </c>
      <c r="W252" s="4">
        <v>0.98</v>
      </c>
      <c r="X252" s="4">
        <v>0.95</v>
      </c>
      <c r="Y252" s="4">
        <v>0.96</v>
      </c>
      <c r="Z252" s="4">
        <v>0.93</v>
      </c>
      <c r="AA252" s="4">
        <v>0.9</v>
      </c>
      <c r="AB252" s="4">
        <v>0.89</v>
      </c>
      <c r="AC252" s="4">
        <v>0.84</v>
      </c>
      <c r="AD252" s="4">
        <v>0.76</v>
      </c>
      <c r="AE252" s="4">
        <v>0.8</v>
      </c>
      <c r="AF252" s="4">
        <v>0.71</v>
      </c>
      <c r="AG252" s="4">
        <v>0.72</v>
      </c>
      <c r="AH252" s="4">
        <v>0.69</v>
      </c>
      <c r="AI252" s="4">
        <v>0.68</v>
      </c>
      <c r="AJ252" s="4">
        <v>0.71</v>
      </c>
      <c r="AK252" s="4">
        <v>0.76</v>
      </c>
      <c r="AL252" s="4">
        <v>0.75</v>
      </c>
      <c r="AM252" s="4">
        <v>0.72</v>
      </c>
      <c r="AN252" s="4">
        <v>0.74</v>
      </c>
      <c r="AO252" s="4">
        <v>0.71</v>
      </c>
      <c r="AP252" s="4">
        <v>0.71</v>
      </c>
      <c r="AQ252" s="4">
        <v>0.7</v>
      </c>
      <c r="AR252" s="4">
        <v>0.77</v>
      </c>
      <c r="AS252" s="4">
        <v>0.73</v>
      </c>
      <c r="AT252" s="4">
        <v>0.72</v>
      </c>
      <c r="AU252" s="4">
        <v>0.75</v>
      </c>
      <c r="AV252" s="4">
        <v>0.68</v>
      </c>
      <c r="AW252" s="4">
        <v>0.66</v>
      </c>
      <c r="AX252" s="4">
        <v>0.63</v>
      </c>
      <c r="AY252" s="12">
        <v>0.64</v>
      </c>
      <c r="AZ252" s="12">
        <v>0.67</v>
      </c>
      <c r="BA252" s="12">
        <v>0.67</v>
      </c>
      <c r="BB252" s="15">
        <v>0.72</v>
      </c>
      <c r="BC252" s="52">
        <v>0.74</v>
      </c>
      <c r="BD252" s="52">
        <v>0.7</v>
      </c>
      <c r="BE252" s="52">
        <v>7</v>
      </c>
      <c r="BF252" s="52">
        <v>6.41</v>
      </c>
      <c r="BG252" s="67">
        <v>6.5</v>
      </c>
      <c r="BH252" s="52">
        <v>6.7</v>
      </c>
      <c r="BI252" s="52">
        <v>6.44</v>
      </c>
      <c r="BJ252" s="52">
        <v>6.74</v>
      </c>
      <c r="BK252" s="52">
        <v>6.44</v>
      </c>
      <c r="BL252" s="52">
        <v>6.66</v>
      </c>
      <c r="BM252" s="52">
        <v>6.43</v>
      </c>
      <c r="BN252" s="52">
        <v>6.31</v>
      </c>
      <c r="BO252" s="52" cm="1">
        <f t="array" aca="1" ref="BO252" ca="1">_FV(EC252,"Preço")</f>
        <v>6.31</v>
      </c>
      <c r="BP252" s="69" t="s">
        <v>248</v>
      </c>
      <c r="BQ252" s="36" cm="1">
        <f t="array" aca="1" ref="BQ252" ca="1">_FV(EC252,"Média de volume",TRUE)</f>
        <v>17300</v>
      </c>
      <c r="BR252" s="36">
        <v>27800</v>
      </c>
      <c r="BS252" s="36" cm="1">
        <f t="array" aca="1" ref="BS252" ca="1">_FV(EC252,"Volume")</f>
        <v>27800</v>
      </c>
      <c r="BT252" s="24" cm="1">
        <f t="array" aca="1" ref="BT252" ca="1">_FV(EC252,"Beta")</f>
        <v>1.8912</v>
      </c>
      <c r="BU252" s="71" cm="1">
        <f t="array" aca="1" ref="BU252" ca="1">_FV(EC252,"Variação (%)",TRUE)</f>
        <v>-2.0186000000000003E-2</v>
      </c>
      <c r="BW252" s="17" cm="1">
        <f t="array" aca="1" ref="BW252" ca="1">_FV(EC252,"Baixo")</f>
        <v>6.21</v>
      </c>
      <c r="BX252" s="17" cm="1">
        <f t="array" aca="1" ref="BX252" ca="1">_FV(EC252,"Alto")</f>
        <v>6.6</v>
      </c>
      <c r="BY252" s="24"/>
      <c r="BZ252" s="63" t="e">
        <f ca="1">SQRT(22.5*(BO252/VLOOKUP(BP252,Fundamentus!A:U,3,FALSE))*(BO252/VLOOKUP(BP252,Fundamentus!A:U,4,FALSE)))</f>
        <v>#NUM!</v>
      </c>
      <c r="CB252" s="62">
        <f t="shared" ca="1" si="241"/>
        <v>0</v>
      </c>
      <c r="CC252" s="8"/>
      <c r="CD252" s="61">
        <f t="shared" si="242"/>
        <v>0.63</v>
      </c>
      <c r="CE252" s="61">
        <f t="shared" si="243"/>
        <v>7</v>
      </c>
      <c r="CF252" s="61">
        <f t="shared" si="244"/>
        <v>1.8896969696969697</v>
      </c>
      <c r="CG252" s="14"/>
      <c r="CH252" s="35">
        <f t="shared" si="227"/>
        <v>5.9868553787975785</v>
      </c>
      <c r="CI252" s="15">
        <f t="shared" si="245"/>
        <v>6.30499999999995</v>
      </c>
      <c r="CJ252" s="35">
        <f t="shared" si="228"/>
        <v>6.6231446212023215</v>
      </c>
      <c r="CL252" s="14"/>
      <c r="CM252" s="17">
        <f t="shared" si="229"/>
        <v>-4.0766666666666671</v>
      </c>
      <c r="CN252" s="17">
        <f t="shared" si="230"/>
        <v>-1.7233333333333336</v>
      </c>
      <c r="CO252" s="17">
        <f t="shared" si="231"/>
        <v>2.293333333333333</v>
      </c>
      <c r="CP252" s="38">
        <f t="shared" si="246"/>
        <v>4.6466666666666665</v>
      </c>
      <c r="CQ252" s="17">
        <f t="shared" si="232"/>
        <v>8.6633333333333322</v>
      </c>
      <c r="CR252" s="17">
        <f t="shared" si="233"/>
        <v>11.016666666666666</v>
      </c>
      <c r="CS252" s="17">
        <f t="shared" si="234"/>
        <v>15.033333333333333</v>
      </c>
      <c r="CT252" s="2" cm="1">
        <f t="array" aca="1" ref="CT252" ca="1">MAX(_xlfn._xlws.FILTER(CM252:CS252,CM252:CS252&lt;BO252))</f>
        <v>4.6466666666666665</v>
      </c>
      <c r="CU252" s="2" cm="1">
        <f t="array" aca="1" ref="CU252" ca="1">MIN(_xlfn._xlws.FILTER($CM252:$CS252,$CM252:$CS252&gt;BO252))</f>
        <v>8.6633333333333322</v>
      </c>
      <c r="CV252" s="16">
        <f t="shared" ca="1" si="248"/>
        <v>0.86441893830702998</v>
      </c>
      <c r="CW252" s="20">
        <f t="shared" ca="1" si="249"/>
        <v>-0.43220946915351499</v>
      </c>
      <c r="CX252" s="20">
        <f t="shared" ca="1" si="250"/>
        <v>-0.28813964610234333</v>
      </c>
      <c r="CY252" s="20">
        <f t="shared" ca="1" si="251"/>
        <v>-0.172883787661406</v>
      </c>
      <c r="CZ252" s="20">
        <f t="shared" ca="1" si="252"/>
        <v>-9.6046548700781109E-2</v>
      </c>
      <c r="DA252" s="20">
        <f t="shared" ca="1" si="253"/>
        <v>-5.0848172841589996E-2</v>
      </c>
      <c r="DB252" s="20">
        <f t="shared" ca="1" si="254"/>
        <v>-2.619451328203121E-2</v>
      </c>
      <c r="DC252" s="20">
        <f t="shared" ca="1" si="255"/>
        <v>-1.3298752897031231E-2</v>
      </c>
      <c r="DD252" s="21">
        <f t="shared" ca="1" si="256"/>
        <v>1.3298752897031231E-2</v>
      </c>
      <c r="DE252" s="21">
        <f t="shared" ca="1" si="257"/>
        <v>2.619451328203121E-2</v>
      </c>
      <c r="DF252" s="21">
        <f t="shared" ca="1" si="258"/>
        <v>5.0848172841589996E-2</v>
      </c>
      <c r="DG252" s="21">
        <f t="shared" ca="1" si="259"/>
        <v>9.6046548700781109E-2</v>
      </c>
      <c r="DH252" s="21">
        <f t="shared" ca="1" si="260"/>
        <v>0.172883787661406</v>
      </c>
      <c r="DI252" s="21">
        <f t="shared" ca="1" si="261"/>
        <v>0.28813964610234333</v>
      </c>
      <c r="DJ252" s="21">
        <f t="shared" ca="1" si="262"/>
        <v>0.43220946915351499</v>
      </c>
      <c r="DL252" s="16" cm="1">
        <f t="array" aca="1" ref="DL252" ca="1">MAX(_xlfn._xlws.FILTER(CW252:DJ252,CW252:DJ252&lt;BU252))</f>
        <v>-2.619451328203121E-2</v>
      </c>
      <c r="DM252" s="16" cm="1">
        <f t="array" aca="1" ref="DM252" ca="1">MIN(_xlfn._xlws.FILTER(CW252:DJ252,CW252:DJ252&gt;BU252))</f>
        <v>-1.3298752897031231E-2</v>
      </c>
      <c r="DN252" s="2" cm="1">
        <f t="array" aca="1" ref="DN252" ca="1">_FV(EC252,"Fechamento anterior",TRUE)</f>
        <v>6.44</v>
      </c>
      <c r="DO252" s="28">
        <f t="shared" ca="1" si="235"/>
        <v>0.46590334334165812</v>
      </c>
      <c r="DP252" s="15">
        <f t="shared" ca="1" si="263"/>
        <v>6.2713073344637191</v>
      </c>
      <c r="DQ252" s="15">
        <f t="shared" ca="1" si="264"/>
        <v>6.3543560313431193</v>
      </c>
      <c r="DR252" s="9"/>
      <c r="DS252" s="9"/>
      <c r="DT252" s="9"/>
      <c r="DU252" s="89">
        <v>2.6699682402971412E-2</v>
      </c>
      <c r="DV252" s="89">
        <f t="shared" ca="1" si="236"/>
        <v>1.2895760384999979E-2</v>
      </c>
      <c r="DW252" s="72">
        <f t="shared" ca="1" si="237"/>
        <v>1.5716123004541182E-2</v>
      </c>
      <c r="DX252" s="37"/>
      <c r="DY252" s="35">
        <f t="shared" si="247"/>
        <v>0.1590723106011856</v>
      </c>
      <c r="DZ252" s="56"/>
      <c r="EA252" s="56"/>
      <c r="EC252" s="2" t="e" vm="254">
        <v>#VALUE!</v>
      </c>
      <c r="EE252" s="10" cm="1">
        <f t="array" aca="1" ref="EE252" ca="1">_FV(EC252,"Ações em circulação",TRUE)</f>
        <v>67412640</v>
      </c>
      <c r="EF252" s="18">
        <f>VLOOKUP(BP252,Fundamentus!A:U,5,FALSE)</f>
        <v>0.29199999999999998</v>
      </c>
      <c r="EG252" s="2">
        <f t="shared" ca="1" si="238"/>
        <v>1456759446.5753424</v>
      </c>
      <c r="EH252" s="17">
        <v>-727359991.6750685</v>
      </c>
      <c r="EI252" s="17">
        <f t="shared" ca="1" si="239"/>
        <v>-727359991.6750685</v>
      </c>
      <c r="EK252" s="16">
        <f t="shared" ca="1" si="226"/>
        <v>0</v>
      </c>
      <c r="EL252" s="32" t="str">
        <f>IF(VLOOKUP(BP252,Fundamentus!A:U,3,FALSE)&lt;15,"Bom",IF(VLOOKUP(BP252,Fundamentus!A:U,3,FALSE)&gt;15,"Ruim","n/a"))</f>
        <v>Bom</v>
      </c>
      <c r="EM252" s="28" t="str">
        <f>IF(VLOOKUP(BP252,Fundamentus!A:U,4,FALSE)&lt;1,"Baixo",IF(VLOOKUP(BP252,Fundamentus!A:U,4,FALSE)&lt;1.5,"Moderado",IF(VLOOKUP(BP252,Fundamentus!A:U,4,FALSE)&gt;1.5,"Alto","n/a")))</f>
        <v>Baixo</v>
      </c>
      <c r="EN252" s="17" t="str">
        <f>IF(VLOOKUP(BP252,Fundamentus!A:U,8,FALSE)&lt;0,"Risco elevado",IF(VLOOKUP(BP252,Fundamentus!A:U,8,FALSE)&lt;1,"Saudável",IF(VLOOKUP(BP252,Fundamentus!A:U,8,FALSE)&lt;3,"Estável",IF(VLOOKUP(BP252,Fundamentus!A:U,8,FALSE)&gt;3,"Alerta","n/a"))))</f>
        <v>Saudável</v>
      </c>
      <c r="EO252" s="28" t="str">
        <f t="shared" si="240"/>
        <v>Ruim</v>
      </c>
      <c r="EP252" s="17" t="str">
        <f>IF(VLOOKUP(BP252,Fundamentus!A:U,12,FALSE)&lt;2,"Subvalorizada",IF(VLOOKUP(BP252,Fundamentus!A:U,12,FALSE)&lt;6,"Muita barata",IF(VLOOKUP(BP252,Fundamentus!A:U,12,FALSE)&lt;6,"Barata",IF(VLOOKUP(BP252,Fundamentus!A:U,12,FALSE)&lt;8,"Atrativa",IF(VLOOKUP(BP252,Fundamentus!A:U,12,FALSE)&gt;8,"Supervalorizada","n/a")))))</f>
        <v>Subvalorizada</v>
      </c>
      <c r="ER252" s="17" t="str">
        <f>IF(VLOOKUP(BP252,Fundamentus!A:U,17,FALSE)&lt;0.1,"Fraco retorno",IF(VLOOKUP(BP252,Fundamentus!A:U,17,FALSE)&gt;0.1,"Bom retorno","n/a"))</f>
        <v>Fraco retorno</v>
      </c>
      <c r="ES252" s="17" t="str">
        <f>IF(VLOOKUP(BP252,Fundamentus!A:U,16,FALSE)&lt;0.1,"Ineficiente",IF(VLOOKUP(BP252,Fundamentus!A:U,16,FALSE)&gt;0.1,"Eficiente","n/a"))</f>
        <v>Ineficiente</v>
      </c>
      <c r="ET252" s="33" t="str">
        <f>IF(VLOOKUP(BP252,Fundamentus!A:U,16,FALSE)&lt;0.1,"Oper. Ineficiente",IF(VLOOKUP(BP252,Fundamentus!A:U,16,FALSE)&gt;0.1,"Oper.Eficiente","n/a"))</f>
        <v>Oper. Ineficiente</v>
      </c>
      <c r="EU252" s="34">
        <f>VLOOKUP(BP252,Fundamentus!A:U,14,FALSE)</f>
        <v>-0.49930000000000002</v>
      </c>
      <c r="EV252" s="17" t="str">
        <f>IF(VLOOKUP(BP252,Fundamentus!A:U,21,FALSE)&lt;0,"Negativo",IF(VLOOKUP(BP252,Fundamentus!A:U,21,FALSE)&lt;0.05,"Fraco",IF(VLOOKUP(BP252,Fundamentus!A:U,21,FALSE)&lt;0.1,"Bom",IF(VLOOKUP(BP252,Fundamentus!A:U,21,FALSE)&gt;0.1,"Muito bom","n/a"))))</f>
        <v>Muito bom</v>
      </c>
      <c r="EX252" s="29" t="str">
        <f>IF(VLOOKUP(BP252,Fundamentus!A:U,15,FALSE)&gt;1,"Bom",IF(VLOOKUP(BP252,Fundamentus!A:U,15,FALSE)&lt;1,"Ruim","n/a"))</f>
        <v>Bom</v>
      </c>
      <c r="EY252" s="17" t="str">
        <f>IF(VLOOKUP(BP252,Fundamentus!A:U,20,FALSE)&lt;0.5,"Baixa",IF(VLOOKUP(BP252,Fundamentus!A:U,20,FALSE)&lt;1,"Moderada",IF(VLOOKUP(BP252,Fundamentus!A:U,20,FALSE)&lt;2,"Alerta",IF(VLOOKUP(BP252,Fundamentus!A:U,20,FALSE)&gt;2,"Alta","n/a"))))</f>
        <v>Moderada</v>
      </c>
    </row>
    <row r="253" spans="1:155" s="2" customFormat="1" ht="11.25" x14ac:dyDescent="0.2">
      <c r="A253" s="4">
        <v>1.49</v>
      </c>
      <c r="B253" s="4">
        <v>1.36</v>
      </c>
      <c r="C253" s="4">
        <v>1.38</v>
      </c>
      <c r="D253" s="4">
        <v>1.31</v>
      </c>
      <c r="E253" s="4">
        <v>1.24</v>
      </c>
      <c r="F253" s="4">
        <v>1.23</v>
      </c>
      <c r="G253" s="4">
        <v>1.28</v>
      </c>
      <c r="H253" s="4">
        <v>1.42</v>
      </c>
      <c r="I253" s="4">
        <v>1.59</v>
      </c>
      <c r="J253" s="4">
        <v>1.62</v>
      </c>
      <c r="K253" s="4">
        <v>1.69</v>
      </c>
      <c r="L253" s="4">
        <v>1.59</v>
      </c>
      <c r="M253" s="4">
        <v>1.43</v>
      </c>
      <c r="N253" s="4">
        <v>1.45</v>
      </c>
      <c r="O253" s="4">
        <v>1.53</v>
      </c>
      <c r="P253" s="4">
        <v>1.46</v>
      </c>
      <c r="Q253" s="4">
        <v>1.46</v>
      </c>
      <c r="R253" s="4">
        <v>1.5</v>
      </c>
      <c r="S253" s="4">
        <v>1.41</v>
      </c>
      <c r="T253" s="4">
        <v>1.32</v>
      </c>
      <c r="U253" s="4">
        <v>1.19</v>
      </c>
      <c r="V253" s="4">
        <v>1.36</v>
      </c>
      <c r="W253" s="4">
        <v>1.28</v>
      </c>
      <c r="X253" s="4">
        <v>1.25</v>
      </c>
      <c r="Y253" s="4">
        <v>1.24</v>
      </c>
      <c r="Z253" s="4">
        <v>1.21</v>
      </c>
      <c r="AA253" s="4">
        <v>1.1299999999999999</v>
      </c>
      <c r="AB253" s="4">
        <v>1.1599999999999999</v>
      </c>
      <c r="AC253" s="4">
        <v>1.1599999999999999</v>
      </c>
      <c r="AD253" s="4">
        <v>1.06</v>
      </c>
      <c r="AE253" s="4">
        <v>0.91</v>
      </c>
      <c r="AF253" s="4">
        <v>0.81</v>
      </c>
      <c r="AG253" s="4">
        <v>1.02</v>
      </c>
      <c r="AH253" s="4">
        <v>1.03</v>
      </c>
      <c r="AI253" s="4">
        <v>1.05</v>
      </c>
      <c r="AJ253" s="4">
        <v>1.01</v>
      </c>
      <c r="AK253" s="4">
        <v>0.98</v>
      </c>
      <c r="AL253" s="4">
        <v>1.07</v>
      </c>
      <c r="AM253" s="4">
        <v>1.23</v>
      </c>
      <c r="AN253" s="4">
        <v>1.28</v>
      </c>
      <c r="AO253" s="4">
        <v>1.6</v>
      </c>
      <c r="AP253" s="4">
        <v>0.8</v>
      </c>
      <c r="AQ253" s="4">
        <v>0.92</v>
      </c>
      <c r="AR253" s="4">
        <v>1.1399999999999999</v>
      </c>
      <c r="AS253" s="4">
        <v>1.04</v>
      </c>
      <c r="AT253" s="4">
        <v>0.89</v>
      </c>
      <c r="AU253" s="4">
        <v>0.91</v>
      </c>
      <c r="AV253" s="4">
        <v>0.91</v>
      </c>
      <c r="AW253" s="4">
        <v>0.8</v>
      </c>
      <c r="AX253" s="4">
        <v>0.77</v>
      </c>
      <c r="AY253" s="12">
        <v>0.72</v>
      </c>
      <c r="AZ253" s="12">
        <v>0.7</v>
      </c>
      <c r="BA253" s="12">
        <v>0.67</v>
      </c>
      <c r="BB253" s="15">
        <v>0.74</v>
      </c>
      <c r="BC253" s="52">
        <v>0.71</v>
      </c>
      <c r="BD253" s="52">
        <v>0.59</v>
      </c>
      <c r="BE253" s="52">
        <v>0.56000000000000005</v>
      </c>
      <c r="BF253" s="52">
        <v>0.56999999999999995</v>
      </c>
      <c r="BG253" s="67">
        <v>0.5</v>
      </c>
      <c r="BH253" s="52">
        <v>0.46</v>
      </c>
      <c r="BI253" s="52">
        <v>0.46</v>
      </c>
      <c r="BJ253" s="52">
        <v>0.46</v>
      </c>
      <c r="BK253" s="52">
        <v>0.61</v>
      </c>
      <c r="BL253" s="52">
        <v>0.55000000000000004</v>
      </c>
      <c r="BM253" s="52">
        <v>0.52</v>
      </c>
      <c r="BN253" s="52">
        <v>0.54</v>
      </c>
      <c r="BO253" s="52" cm="1">
        <f t="array" aca="1" ref="BO253" ca="1">_FV(EC253,"Preço")</f>
        <v>0.54</v>
      </c>
      <c r="BP253" s="69" t="s">
        <v>249</v>
      </c>
      <c r="BQ253" s="36" cm="1">
        <f t="array" aca="1" ref="BQ253" ca="1">_FV(EC253,"Média de volume",TRUE)</f>
        <v>1353070</v>
      </c>
      <c r="BR253" s="36">
        <v>679600</v>
      </c>
      <c r="BS253" s="36" cm="1">
        <f t="array" aca="1" ref="BS253" ca="1">_FV(EC253,"Volume")</f>
        <v>679600</v>
      </c>
      <c r="BT253" s="24" cm="1">
        <f t="array" aca="1" ref="BT253" ca="1">_FV(EC253,"Beta")</f>
        <v>1.0616000000000001</v>
      </c>
      <c r="BU253" s="71" cm="1">
        <f t="array" aca="1" ref="BU253" ca="1">_FV(EC253,"Variação (%)",TRUE)</f>
        <v>-3.5714000000000003E-2</v>
      </c>
      <c r="BW253" s="17" cm="1">
        <f t="array" aca="1" ref="BW253" ca="1">_FV(EC253,"Baixo")</f>
        <v>0.54</v>
      </c>
      <c r="BX253" s="17" cm="1">
        <f t="array" aca="1" ref="BX253" ca="1">_FV(EC253,"Alto")</f>
        <v>0.56000000000000005</v>
      </c>
      <c r="BY253" s="24"/>
      <c r="BZ253" s="63" t="e">
        <f ca="1">SQRT(22.5*(BO253/VLOOKUP(BP253,Fundamentus!A:U,3,FALSE))*(BO253/VLOOKUP(BP253,Fundamentus!A:U,4,FALSE)))</f>
        <v>#NUM!</v>
      </c>
      <c r="CB253" s="62">
        <f t="shared" ca="1" si="241"/>
        <v>0</v>
      </c>
      <c r="CC253" s="8"/>
      <c r="CD253" s="61">
        <f t="shared" si="242"/>
        <v>0.46</v>
      </c>
      <c r="CE253" s="61">
        <f t="shared" si="243"/>
        <v>1.69</v>
      </c>
      <c r="CF253" s="61">
        <f t="shared" si="244"/>
        <v>1.0656060606060602</v>
      </c>
      <c r="CG253" s="14"/>
      <c r="CH253" s="35">
        <f t="shared" si="227"/>
        <v>0.39817025250472293</v>
      </c>
      <c r="CI253" s="15">
        <f t="shared" si="245"/>
        <v>0.49500000000000455</v>
      </c>
      <c r="CJ253" s="35">
        <f t="shared" si="228"/>
        <v>0.59182974749528616</v>
      </c>
      <c r="CL253" s="14"/>
      <c r="CM253" s="17">
        <f t="shared" si="229"/>
        <v>-1.1266666666666667</v>
      </c>
      <c r="CN253" s="17">
        <f t="shared" si="230"/>
        <v>-0.33333333333333337</v>
      </c>
      <c r="CO253" s="17">
        <f t="shared" si="231"/>
        <v>0.10333333333333328</v>
      </c>
      <c r="CP253" s="38">
        <f t="shared" si="246"/>
        <v>0.89666666666666661</v>
      </c>
      <c r="CQ253" s="17">
        <f t="shared" si="232"/>
        <v>1.3333333333333333</v>
      </c>
      <c r="CR253" s="17">
        <f t="shared" si="233"/>
        <v>2.1266666666666665</v>
      </c>
      <c r="CS253" s="17">
        <f t="shared" si="234"/>
        <v>2.563333333333333</v>
      </c>
      <c r="CT253" s="2" cm="1">
        <f t="array" aca="1" ref="CT253" ca="1">MAX(_xlfn._xlws.FILTER(CM253:CS253,CM253:CS253&lt;BO253))</f>
        <v>0.10333333333333328</v>
      </c>
      <c r="CU253" s="2" cm="1">
        <f t="array" aca="1" ref="CU253" ca="1">MIN(_xlfn._xlws.FILTER($CM253:$CS253,$CM253:$CS253&gt;BO253))</f>
        <v>0.89666666666666661</v>
      </c>
      <c r="CV253" s="16">
        <f t="shared" ca="1" si="248"/>
        <v>7.6774193548387135</v>
      </c>
      <c r="CW253" s="20">
        <f t="shared" ca="1" si="249"/>
        <v>-3.8387096774193568</v>
      </c>
      <c r="CX253" s="20">
        <f t="shared" ca="1" si="250"/>
        <v>-2.5591397849462378</v>
      </c>
      <c r="CY253" s="20">
        <f t="shared" ca="1" si="251"/>
        <v>-1.5354838709677427</v>
      </c>
      <c r="CZ253" s="20">
        <f t="shared" ca="1" si="252"/>
        <v>-0.85304659498207924</v>
      </c>
      <c r="DA253" s="20">
        <f t="shared" ca="1" si="253"/>
        <v>-0.45161290322580666</v>
      </c>
      <c r="DB253" s="20">
        <f t="shared" ca="1" si="254"/>
        <v>-0.2326490713587489</v>
      </c>
      <c r="DC253" s="20">
        <f t="shared" ca="1" si="255"/>
        <v>-0.11811414392059559</v>
      </c>
      <c r="DD253" s="21">
        <f t="shared" ca="1" si="256"/>
        <v>0.11811414392059559</v>
      </c>
      <c r="DE253" s="21">
        <f t="shared" ca="1" si="257"/>
        <v>0.2326490713587489</v>
      </c>
      <c r="DF253" s="21">
        <f t="shared" ca="1" si="258"/>
        <v>0.45161290322580666</v>
      </c>
      <c r="DG253" s="21">
        <f t="shared" ca="1" si="259"/>
        <v>0.85304659498207924</v>
      </c>
      <c r="DH253" s="21">
        <f t="shared" ca="1" si="260"/>
        <v>1.5354838709677427</v>
      </c>
      <c r="DI253" s="21">
        <f t="shared" ca="1" si="261"/>
        <v>2.5591397849462378</v>
      </c>
      <c r="DJ253" s="21">
        <f t="shared" ca="1" si="262"/>
        <v>3.8387096774193568</v>
      </c>
      <c r="DL253" s="16" cm="1">
        <f t="array" aca="1" ref="DL253" ca="1">MAX(_xlfn._xlws.FILTER(CW253:DJ253,CW253:DJ253&lt;BU253))</f>
        <v>-0.11811414392059559</v>
      </c>
      <c r="DM253" s="16" cm="1">
        <f t="array" aca="1" ref="DM253" ca="1">MIN(_xlfn._xlws.FILTER(CW253:DJ253,CW253:DJ253&gt;BU253))</f>
        <v>0.11811414392059559</v>
      </c>
      <c r="DN253" s="2" cm="1">
        <f t="array" aca="1" ref="DN253" ca="1">_FV(EC253,"Fechamento anterior",TRUE)</f>
        <v>0.56000000000000005</v>
      </c>
      <c r="DO253" s="28">
        <f t="shared" ca="1" si="235"/>
        <v>0.34881452581032407</v>
      </c>
      <c r="DP253" s="15">
        <f t="shared" ca="1" si="263"/>
        <v>0.49385607940446652</v>
      </c>
      <c r="DQ253" s="15">
        <f t="shared" ca="1" si="264"/>
        <v>0.62614392059553359</v>
      </c>
      <c r="DR253" s="9"/>
      <c r="DS253" s="9"/>
      <c r="DT253" s="9"/>
      <c r="DU253" s="89">
        <v>0.22097902097902075</v>
      </c>
      <c r="DV253" s="89">
        <f t="shared" ca="1" si="236"/>
        <v>0.23622828784119118</v>
      </c>
      <c r="DW253" s="72">
        <f t="shared" ca="1" si="237"/>
        <v>0.464733216434219</v>
      </c>
      <c r="DX253" s="37"/>
      <c r="DY253" s="35">
        <f t="shared" si="247"/>
        <v>4.8414873747640808E-2</v>
      </c>
      <c r="DZ253" s="56"/>
      <c r="EA253" s="56"/>
      <c r="EC253" s="2" t="e" vm="255">
        <v>#VALUE!</v>
      </c>
      <c r="EE253" s="10" cm="1">
        <f t="array" aca="1" ref="EE253" ca="1">_FV(EC253,"Ações em circulação",TRUE)</f>
        <v>592753700</v>
      </c>
      <c r="EF253" s="18">
        <f>VLOOKUP(BP253,Fundamentus!A:U,5,FALSE)</f>
        <v>2.044</v>
      </c>
      <c r="EG253" s="2">
        <f t="shared" ca="1" si="238"/>
        <v>156598335.61643836</v>
      </c>
      <c r="EH253" s="17">
        <v>-268112010.40890411</v>
      </c>
      <c r="EI253" s="17">
        <f t="shared" ca="1" si="239"/>
        <v>-268112010.40890411</v>
      </c>
      <c r="EK253" s="16">
        <f t="shared" ca="1" si="226"/>
        <v>0</v>
      </c>
      <c r="EL253" s="32" t="str">
        <f>IF(VLOOKUP(BP253,Fundamentus!A:U,3,FALSE)&lt;15,"Bom",IF(VLOOKUP(BP253,Fundamentus!A:U,3,FALSE)&gt;15,"Ruim","n/a"))</f>
        <v>Bom</v>
      </c>
      <c r="EM253" s="28" t="str">
        <f>IF(VLOOKUP(BP253,Fundamentus!A:U,4,FALSE)&lt;1,"Baixo",IF(VLOOKUP(BP253,Fundamentus!A:U,4,FALSE)&lt;1.5,"Moderado",IF(VLOOKUP(BP253,Fundamentus!A:U,4,FALSE)&gt;1.5,"Alto","n/a")))</f>
        <v>Baixo</v>
      </c>
      <c r="EN253" s="17" t="str">
        <f>IF(VLOOKUP(BP253,Fundamentus!A:U,8,FALSE)&lt;0,"Risco elevado",IF(VLOOKUP(BP253,Fundamentus!A:U,8,FALSE)&lt;1,"Saudável",IF(VLOOKUP(BP253,Fundamentus!A:U,8,FALSE)&lt;3,"Estável",IF(VLOOKUP(BP253,Fundamentus!A:U,8,FALSE)&gt;3,"Alerta","n/a"))))</f>
        <v>Risco elevado</v>
      </c>
      <c r="EO253" s="28" t="str">
        <f t="shared" si="240"/>
        <v>Bom</v>
      </c>
      <c r="EP253" s="17" t="str">
        <f>IF(VLOOKUP(BP253,Fundamentus!A:U,12,FALSE)&lt;2,"Subvalorizada",IF(VLOOKUP(BP253,Fundamentus!A:U,12,FALSE)&lt;6,"Muita barata",IF(VLOOKUP(BP253,Fundamentus!A:U,12,FALSE)&lt;6,"Barata",IF(VLOOKUP(BP253,Fundamentus!A:U,12,FALSE)&lt;8,"Atrativa",IF(VLOOKUP(BP253,Fundamentus!A:U,12,FALSE)&gt;8,"Supervalorizada","n/a")))))</f>
        <v>Subvalorizada</v>
      </c>
      <c r="ER253" s="17" t="str">
        <f>IF(VLOOKUP(BP253,Fundamentus!A:U,17,FALSE)&lt;0.1,"Fraco retorno",IF(VLOOKUP(BP253,Fundamentus!A:U,17,FALSE)&gt;0.1,"Bom retorno","n/a"))</f>
        <v>Fraco retorno</v>
      </c>
      <c r="ES253" s="17" t="str">
        <f>IF(VLOOKUP(BP253,Fundamentus!A:U,16,FALSE)&lt;0.1,"Ineficiente",IF(VLOOKUP(BP253,Fundamentus!A:U,16,FALSE)&gt;0.1,"Eficiente","n/a"))</f>
        <v>Ineficiente</v>
      </c>
      <c r="ET253" s="33" t="str">
        <f>IF(VLOOKUP(BP253,Fundamentus!A:U,16,FALSE)&lt;0.1,"Oper. Ineficiente",IF(VLOOKUP(BP253,Fundamentus!A:U,16,FALSE)&gt;0.1,"Oper.Eficiente","n/a"))</f>
        <v>Oper. Ineficiente</v>
      </c>
      <c r="EU253" s="34">
        <f>VLOOKUP(BP253,Fundamentus!A:U,14,FALSE)</f>
        <v>-1.7121</v>
      </c>
      <c r="EV253" s="17" t="str">
        <f>IF(VLOOKUP(BP253,Fundamentus!A:U,21,FALSE)&lt;0,"Negativo",IF(VLOOKUP(BP253,Fundamentus!A:U,21,FALSE)&lt;0.05,"Fraco",IF(VLOOKUP(BP253,Fundamentus!A:U,21,FALSE)&lt;0.1,"Bom",IF(VLOOKUP(BP253,Fundamentus!A:U,21,FALSE)&gt;0.1,"Muito bom","n/a"))))</f>
        <v>Muito bom</v>
      </c>
      <c r="EX253" s="29" t="str">
        <f>IF(VLOOKUP(BP253,Fundamentus!A:U,15,FALSE)&gt;1,"Bom",IF(VLOOKUP(BP253,Fundamentus!A:U,15,FALSE)&lt;1,"Ruim","n/a"))</f>
        <v>Ruim</v>
      </c>
      <c r="EY253" s="17" t="str">
        <f>IF(VLOOKUP(BP253,Fundamentus!A:U,20,FALSE)&lt;0.5,"Baixa",IF(VLOOKUP(BP253,Fundamentus!A:U,20,FALSE)&lt;1,"Moderada",IF(VLOOKUP(BP253,Fundamentus!A:U,20,FALSE)&lt;2,"Alerta",IF(VLOOKUP(BP253,Fundamentus!A:U,20,FALSE)&gt;2,"Alta","n/a"))))</f>
        <v>Baixa</v>
      </c>
    </row>
    <row r="254" spans="1:155" s="2" customFormat="1" ht="11.25" x14ac:dyDescent="0.2">
      <c r="A254" s="4">
        <v>1.37</v>
      </c>
      <c r="B254" s="4">
        <v>1.24</v>
      </c>
      <c r="C254" s="4">
        <v>1.26</v>
      </c>
      <c r="D254" s="4">
        <v>1.41</v>
      </c>
      <c r="E254" s="4">
        <v>1.1100000000000001</v>
      </c>
      <c r="F254" s="4">
        <v>1.1000000000000001</v>
      </c>
      <c r="G254" s="4">
        <v>1.08</v>
      </c>
      <c r="H254" s="4">
        <v>1.02</v>
      </c>
      <c r="I254" s="4">
        <v>1.03</v>
      </c>
      <c r="J254" s="4">
        <v>1.18</v>
      </c>
      <c r="K254" s="4">
        <v>1.25</v>
      </c>
      <c r="L254" s="4">
        <v>1.18</v>
      </c>
      <c r="M254" s="4">
        <v>1.1599999999999999</v>
      </c>
      <c r="N254" s="4">
        <v>1.0900000000000001</v>
      </c>
      <c r="O254" s="4">
        <v>1.1000000000000001</v>
      </c>
      <c r="P254" s="4">
        <v>1.08</v>
      </c>
      <c r="Q254" s="4">
        <v>1.1100000000000001</v>
      </c>
      <c r="R254" s="4">
        <v>1.08</v>
      </c>
      <c r="S254" s="4">
        <v>1.05</v>
      </c>
      <c r="T254" s="4">
        <v>1.0900000000000001</v>
      </c>
      <c r="U254" s="4">
        <v>1.0900000000000001</v>
      </c>
      <c r="V254" s="4">
        <v>1.1000000000000001</v>
      </c>
      <c r="W254" s="4">
        <v>1.05</v>
      </c>
      <c r="X254" s="4">
        <v>1.08</v>
      </c>
      <c r="Y254" s="4">
        <v>1.1000000000000001</v>
      </c>
      <c r="Z254" s="4">
        <v>1.1000000000000001</v>
      </c>
      <c r="AA254" s="4">
        <v>1.1100000000000001</v>
      </c>
      <c r="AB254" s="4">
        <v>1.1299999999999999</v>
      </c>
      <c r="AC254" s="4">
        <v>1.17</v>
      </c>
      <c r="AD254" s="4">
        <v>1.47</v>
      </c>
      <c r="AE254" s="4">
        <v>1.34</v>
      </c>
      <c r="AF254" s="4">
        <v>1.26</v>
      </c>
      <c r="AG254" s="4">
        <v>1.29</v>
      </c>
      <c r="AH254" s="4">
        <v>1.3</v>
      </c>
      <c r="AI254" s="4">
        <v>1.28</v>
      </c>
      <c r="AJ254" s="4">
        <v>1.38</v>
      </c>
      <c r="AK254" s="4">
        <v>1.59</v>
      </c>
      <c r="AL254" s="4">
        <v>1.7</v>
      </c>
      <c r="AM254" s="4">
        <v>1.71</v>
      </c>
      <c r="AN254" s="4">
        <v>1.7</v>
      </c>
      <c r="AO254" s="4">
        <v>1.52</v>
      </c>
      <c r="AP254" s="4">
        <v>1.51</v>
      </c>
      <c r="AQ254" s="4">
        <v>1.42</v>
      </c>
      <c r="AR254" s="4">
        <v>1.39</v>
      </c>
      <c r="AS254" s="4">
        <v>1.38</v>
      </c>
      <c r="AT254" s="4">
        <v>1.41</v>
      </c>
      <c r="AU254" s="4">
        <v>1.405</v>
      </c>
      <c r="AV254" s="4">
        <v>1.4</v>
      </c>
      <c r="AW254" s="4">
        <v>1.39</v>
      </c>
      <c r="AX254" s="4">
        <v>1.39</v>
      </c>
      <c r="AY254" s="12">
        <v>1.45</v>
      </c>
      <c r="AZ254" s="12">
        <v>1.33</v>
      </c>
      <c r="BA254" s="12">
        <v>1.23</v>
      </c>
      <c r="BB254" s="15">
        <v>1.19</v>
      </c>
      <c r="BC254" s="52">
        <v>0.95</v>
      </c>
      <c r="BD254" s="52">
        <v>1.3</v>
      </c>
      <c r="BE254" s="52">
        <v>1.47</v>
      </c>
      <c r="BF254" s="52">
        <v>1.1000000000000001</v>
      </c>
      <c r="BG254" s="67">
        <v>701</v>
      </c>
      <c r="BH254" s="52">
        <v>162.16</v>
      </c>
      <c r="BI254" s="52">
        <v>118</v>
      </c>
      <c r="BJ254" s="52">
        <v>151.31</v>
      </c>
      <c r="BK254" s="52">
        <v>40.380000000000003</v>
      </c>
      <c r="BL254" s="52">
        <v>3.57</v>
      </c>
      <c r="BM254" s="52">
        <v>6.8</v>
      </c>
      <c r="BN254" s="52">
        <v>6.57</v>
      </c>
      <c r="BO254" s="52" cm="1">
        <f t="array" aca="1" ref="BO254" ca="1">_FV(EC254,"Preço")</f>
        <v>6.57</v>
      </c>
      <c r="BP254" s="69" t="s">
        <v>250</v>
      </c>
      <c r="BQ254" s="36" cm="1">
        <f t="array" aca="1" ref="BQ254" ca="1">_FV(EC254,"Média de volume",TRUE)</f>
        <v>2045290320</v>
      </c>
      <c r="BR254" s="36">
        <v>421389</v>
      </c>
      <c r="BS254" s="36" cm="1">
        <f t="array" aca="1" ref="BS254" ca="1">_FV(EC254,"Volume")</f>
        <v>421389</v>
      </c>
      <c r="BT254" s="24" cm="1">
        <f t="array" aca="1" ref="BT254" ca="1">_FV(EC254,"Beta")</f>
        <v>2.0024999999999999</v>
      </c>
      <c r="BU254" s="71" cm="1">
        <f t="array" aca="1" ref="BU254" ca="1">_FV(EC254,"Variação (%)",TRUE)</f>
        <v>3.0530000000000002E-3</v>
      </c>
      <c r="BW254" s="17" cm="1">
        <f t="array" aca="1" ref="BW254" ca="1">_FV(EC254,"Baixo")</f>
        <v>6.57</v>
      </c>
      <c r="BX254" s="17" cm="1">
        <f t="array" aca="1" ref="BX254" ca="1">_FV(EC254,"Alto")</f>
        <v>7.04</v>
      </c>
      <c r="BY254" s="24"/>
      <c r="BZ254" s="63">
        <f ca="1">SQRT(22.5*(BO254/VLOOKUP(BP254,Fundamentus!A:U,3,FALSE))*(BO254/VLOOKUP(BP254,Fundamentus!A:U,4,FALSE)))</f>
        <v>0.50222181372624652</v>
      </c>
      <c r="CB254" s="62">
        <f t="shared" ca="1" si="241"/>
        <v>0</v>
      </c>
      <c r="CC254" s="8"/>
      <c r="CD254" s="61">
        <f t="shared" si="242"/>
        <v>0.95</v>
      </c>
      <c r="CE254" s="61">
        <f t="shared" si="243"/>
        <v>701</v>
      </c>
      <c r="CF254" s="61">
        <f t="shared" si="244"/>
        <v>19.135833333333331</v>
      </c>
      <c r="CG254" s="14"/>
      <c r="CH254" s="35">
        <f t="shared" si="227"/>
        <v>-123.08138372356872</v>
      </c>
      <c r="CI254" s="15">
        <f t="shared" si="245"/>
        <v>-10.219999999993888</v>
      </c>
      <c r="CJ254" s="35">
        <f t="shared" si="228"/>
        <v>102.64138372358094</v>
      </c>
      <c r="CL254" s="14"/>
      <c r="CM254" s="17">
        <f t="shared" si="229"/>
        <v>-928.70333333333315</v>
      </c>
      <c r="CN254" s="17">
        <f t="shared" si="230"/>
        <v>-463.87666666666655</v>
      </c>
      <c r="CO254" s="17">
        <f t="shared" si="231"/>
        <v>-228.65333333333325</v>
      </c>
      <c r="CP254" s="38">
        <f t="shared" si="246"/>
        <v>236.17333333333337</v>
      </c>
      <c r="CQ254" s="17">
        <f t="shared" si="232"/>
        <v>471.39666666666676</v>
      </c>
      <c r="CR254" s="17">
        <f t="shared" si="233"/>
        <v>936.22333333333336</v>
      </c>
      <c r="CS254" s="17">
        <f t="shared" si="234"/>
        <v>1171.4466666666667</v>
      </c>
      <c r="CT254" s="2" cm="1">
        <f t="array" aca="1" ref="CT254" ca="1">MAX(_xlfn._xlws.FILTER(CM254:CS254,CM254:CS254&lt;BO254))</f>
        <v>-228.65333333333325</v>
      </c>
      <c r="CU254" s="2" cm="1">
        <f t="array" aca="1" ref="CU254" ca="1">MIN(_xlfn._xlws.FILTER($CM254:$CS254,$CM254:$CS254&gt;BO254))</f>
        <v>236.17333333333337</v>
      </c>
      <c r="CV254" s="16">
        <f t="shared" ca="1" si="248"/>
        <v>-2.0328882150562722</v>
      </c>
      <c r="CW254" s="20">
        <f t="shared" ca="1" si="249"/>
        <v>1.0164441075281361</v>
      </c>
      <c r="CX254" s="20">
        <f t="shared" ca="1" si="250"/>
        <v>0.67762940501875735</v>
      </c>
      <c r="CY254" s="20">
        <f t="shared" ca="1" si="251"/>
        <v>0.40657764301125443</v>
      </c>
      <c r="CZ254" s="20">
        <f t="shared" ca="1" si="252"/>
        <v>0.2258764683395858</v>
      </c>
      <c r="DA254" s="20">
        <f t="shared" ca="1" si="253"/>
        <v>0.11958165970919248</v>
      </c>
      <c r="DB254" s="20">
        <f t="shared" ca="1" si="254"/>
        <v>6.1602673183523401E-2</v>
      </c>
      <c r="DC254" s="20">
        <f t="shared" ca="1" si="255"/>
        <v>3.1275203308558035E-2</v>
      </c>
      <c r="DD254" s="21">
        <f t="shared" ca="1" si="256"/>
        <v>-3.1275203308558035E-2</v>
      </c>
      <c r="DE254" s="21">
        <f t="shared" ca="1" si="257"/>
        <v>-6.1602673183523401E-2</v>
      </c>
      <c r="DF254" s="21">
        <f t="shared" ca="1" si="258"/>
        <v>-0.11958165970919248</v>
      </c>
      <c r="DG254" s="21">
        <f t="shared" ca="1" si="259"/>
        <v>-0.2258764683395858</v>
      </c>
      <c r="DH254" s="21">
        <f t="shared" ca="1" si="260"/>
        <v>-0.40657764301125443</v>
      </c>
      <c r="DI254" s="21">
        <f t="shared" ca="1" si="261"/>
        <v>-0.67762940501875735</v>
      </c>
      <c r="DJ254" s="21">
        <f t="shared" ca="1" si="262"/>
        <v>-1.0164441075281361</v>
      </c>
      <c r="DL254" s="16" cm="1">
        <f t="array" aca="1" ref="DL254" ca="1">MAX(_xlfn._xlws.FILTER(CW254:DJ254,CW254:DJ254&lt;BU254))</f>
        <v>-3.1275203308558035E-2</v>
      </c>
      <c r="DM254" s="16" cm="1">
        <f t="array" aca="1" ref="DM254" ca="1">MIN(_xlfn._xlws.FILTER(CW254:DJ254,CW254:DJ254&gt;BU254))</f>
        <v>3.1275203308558035E-2</v>
      </c>
      <c r="DN254" s="2" cm="1">
        <f t="array" aca="1" ref="DN254" ca="1">_FV(EC254,"Fechamento anterior",TRUE)</f>
        <v>6.55</v>
      </c>
      <c r="DO254" s="28">
        <f t="shared" ca="1" si="235"/>
        <v>0.54881559177056338</v>
      </c>
      <c r="DP254" s="15">
        <f t="shared" ca="1" si="263"/>
        <v>6.3451474183289447</v>
      </c>
      <c r="DQ254" s="15">
        <f t="shared" ca="1" si="264"/>
        <v>6.754852581671055</v>
      </c>
      <c r="DR254" s="9"/>
      <c r="DS254" s="9"/>
      <c r="DT254" s="9"/>
      <c r="DU254" s="89">
        <v>0.10559981743627181</v>
      </c>
      <c r="DV254" s="89">
        <f t="shared" ca="1" si="236"/>
        <v>6.2550406617116069E-2</v>
      </c>
      <c r="DW254" s="72">
        <f t="shared" ca="1" si="237"/>
        <v>0.14876656165333493</v>
      </c>
      <c r="DX254" s="37"/>
      <c r="DY254" s="35">
        <f t="shared" si="247"/>
        <v>56.430691861787416</v>
      </c>
      <c r="DZ254" s="56"/>
      <c r="EA254" s="56"/>
      <c r="EC254" s="2" t="e" vm="256">
        <v>#VALUE!</v>
      </c>
      <c r="EE254" s="10" cm="1">
        <f t="array" aca="1" ref="EE254" ca="1">_FV(EC254,"Ações em circulação",TRUE)</f>
        <v>3202277000000</v>
      </c>
      <c r="EF254" s="18">
        <f>VLOOKUP(BP254,Fundamentus!A:U,5,FALSE)</f>
        <v>47.427</v>
      </c>
      <c r="EG254" s="2">
        <f t="shared" ca="1" si="238"/>
        <v>443607225630.96973</v>
      </c>
      <c r="EH254" s="17">
        <v>-187645856441.90018</v>
      </c>
      <c r="EI254" s="17">
        <f t="shared" ca="1" si="239"/>
        <v>-187645856441.90018</v>
      </c>
      <c r="EK254" s="16">
        <f t="shared" ca="1" si="226"/>
        <v>0</v>
      </c>
      <c r="EL254" s="32" t="str">
        <f>IF(VLOOKUP(BP254,Fundamentus!A:U,3,FALSE)&lt;15,"Bom",IF(VLOOKUP(BP254,Fundamentus!A:U,3,FALSE)&gt;15,"Ruim","n/a"))</f>
        <v>Bom</v>
      </c>
      <c r="EM254" s="28" t="str">
        <f>IF(VLOOKUP(BP254,Fundamentus!A:U,4,FALSE)&lt;1,"Baixo",IF(VLOOKUP(BP254,Fundamentus!A:U,4,FALSE)&lt;1.5,"Moderado",IF(VLOOKUP(BP254,Fundamentus!A:U,4,FALSE)&gt;1.5,"Alto","n/a")))</f>
        <v>Baixo</v>
      </c>
      <c r="EN254" s="17" t="str">
        <f>IF(VLOOKUP(BP254,Fundamentus!A:U,8,FALSE)&lt;0,"Risco elevado",IF(VLOOKUP(BP254,Fundamentus!A:U,8,FALSE)&lt;1,"Saudável",IF(VLOOKUP(BP254,Fundamentus!A:U,8,FALSE)&lt;3,"Estável",IF(VLOOKUP(BP254,Fundamentus!A:U,8,FALSE)&gt;3,"Alerta","n/a"))))</f>
        <v>Risco elevado</v>
      </c>
      <c r="EO254" s="28" t="str">
        <f t="shared" si="240"/>
        <v>Bom</v>
      </c>
      <c r="EP254" s="17" t="str">
        <f>IF(VLOOKUP(BP254,Fundamentus!A:U,12,FALSE)&lt;2,"Subvalorizada",IF(VLOOKUP(BP254,Fundamentus!A:U,12,FALSE)&lt;6,"Muita barata",IF(VLOOKUP(BP254,Fundamentus!A:U,12,FALSE)&lt;6,"Barata",IF(VLOOKUP(BP254,Fundamentus!A:U,12,FALSE)&lt;8,"Atrativa",IF(VLOOKUP(BP254,Fundamentus!A:U,12,FALSE)&gt;8,"Supervalorizada","n/a")))))</f>
        <v>Supervalorizada</v>
      </c>
      <c r="ER254" s="17" t="str">
        <f>IF(VLOOKUP(BP254,Fundamentus!A:U,17,FALSE)&lt;0.1,"Fraco retorno",IF(VLOOKUP(BP254,Fundamentus!A:U,17,FALSE)&gt;0.1,"Bom retorno","n/a"))</f>
        <v>Bom retorno</v>
      </c>
      <c r="ES254" s="17" t="str">
        <f>IF(VLOOKUP(BP254,Fundamentus!A:U,16,FALSE)&lt;0.1,"Ineficiente",IF(VLOOKUP(BP254,Fundamentus!A:U,16,FALSE)&gt;0.1,"Eficiente","n/a"))</f>
        <v>Ineficiente</v>
      </c>
      <c r="ET254" s="33" t="str">
        <f>IF(VLOOKUP(BP254,Fundamentus!A:U,16,FALSE)&lt;0.1,"Oper. Ineficiente",IF(VLOOKUP(BP254,Fundamentus!A:U,16,FALSE)&gt;0.1,"Oper.Eficiente","n/a"))</f>
        <v>Oper. Ineficiente</v>
      </c>
      <c r="EU254" s="34">
        <f>VLOOKUP(BP254,Fundamentus!A:U,14,FALSE)</f>
        <v>-0.42299999999999999</v>
      </c>
      <c r="EV254" s="17" t="str">
        <f>IF(VLOOKUP(BP254,Fundamentus!A:U,21,FALSE)&lt;0,"Negativo",IF(VLOOKUP(BP254,Fundamentus!A:U,21,FALSE)&lt;0.05,"Fraco",IF(VLOOKUP(BP254,Fundamentus!A:U,21,FALSE)&lt;0.1,"Bom",IF(VLOOKUP(BP254,Fundamentus!A:U,21,FALSE)&gt;0.1,"Muito bom","n/a"))))</f>
        <v>Muito bom</v>
      </c>
      <c r="EX254" s="29" t="str">
        <f>IF(VLOOKUP(BP254,Fundamentus!A:U,15,FALSE)&gt;1,"Bom",IF(VLOOKUP(BP254,Fundamentus!A:U,15,FALSE)&lt;1,"Ruim","n/a"))</f>
        <v>Ruim</v>
      </c>
      <c r="EY254" s="17" t="str">
        <f>IF(VLOOKUP(BP254,Fundamentus!A:U,20,FALSE)&lt;0.5,"Baixa",IF(VLOOKUP(BP254,Fundamentus!A:U,20,FALSE)&lt;1,"Moderada",IF(VLOOKUP(BP254,Fundamentus!A:U,20,FALSE)&lt;2,"Alerta",IF(VLOOKUP(BP254,Fundamentus!A:U,20,FALSE)&gt;2,"Alta","n/a"))))</f>
        <v>Baixa</v>
      </c>
    </row>
    <row r="255" spans="1:155" s="2" customFormat="1" ht="11.25" x14ac:dyDescent="0.2">
      <c r="A255" s="4">
        <v>5.93</v>
      </c>
      <c r="B255" s="4">
        <v>5.5</v>
      </c>
      <c r="C255" s="4">
        <v>4.8</v>
      </c>
      <c r="D255" s="4">
        <v>4.78</v>
      </c>
      <c r="E255" s="4">
        <v>4.9400000000000004</v>
      </c>
      <c r="F255" s="4">
        <v>4.7699999999999996</v>
      </c>
      <c r="G255" s="4">
        <v>5.26</v>
      </c>
      <c r="H255" s="4">
        <v>5.0999999999999996</v>
      </c>
      <c r="I255" s="4">
        <v>4.8899999999999997</v>
      </c>
      <c r="J255" s="4">
        <v>5.6</v>
      </c>
      <c r="K255" s="4">
        <v>5.54</v>
      </c>
      <c r="L255" s="4">
        <v>5.16</v>
      </c>
      <c r="M255" s="4">
        <v>5.31</v>
      </c>
      <c r="N255" s="4">
        <v>5.27</v>
      </c>
      <c r="O255" s="4">
        <v>5.18</v>
      </c>
      <c r="P255" s="4">
        <v>5.74</v>
      </c>
      <c r="Q255" s="4">
        <v>6.25</v>
      </c>
      <c r="R255" s="4">
        <v>6.45</v>
      </c>
      <c r="S255" s="4">
        <v>6.21</v>
      </c>
      <c r="T255" s="4">
        <v>6.89</v>
      </c>
      <c r="U255" s="4">
        <v>6.26</v>
      </c>
      <c r="V255" s="4">
        <v>6.06</v>
      </c>
      <c r="W255" s="4">
        <v>6.15</v>
      </c>
      <c r="X255" s="4">
        <v>5.78</v>
      </c>
      <c r="Y255" s="4">
        <v>5.66</v>
      </c>
      <c r="Z255" s="4">
        <v>5.93</v>
      </c>
      <c r="AA255" s="4">
        <v>6.87</v>
      </c>
      <c r="AB255" s="4">
        <v>7.13</v>
      </c>
      <c r="AC255" s="4">
        <v>6.6</v>
      </c>
      <c r="AD255" s="4">
        <v>6.9</v>
      </c>
      <c r="AE255" s="4">
        <v>6.15</v>
      </c>
      <c r="AF255" s="4">
        <v>5.77</v>
      </c>
      <c r="AG255" s="4">
        <v>5.15</v>
      </c>
      <c r="AH255" s="4">
        <v>4.5599999999999996</v>
      </c>
      <c r="AI255" s="4">
        <v>4.4800000000000004</v>
      </c>
      <c r="AJ255" s="4">
        <v>4.2699999999999996</v>
      </c>
      <c r="AK255" s="4">
        <v>4.24</v>
      </c>
      <c r="AL255" s="4">
        <v>4.45</v>
      </c>
      <c r="AM255" s="4">
        <v>4.62</v>
      </c>
      <c r="AN255" s="4">
        <v>5.32</v>
      </c>
      <c r="AO255" s="4">
        <v>5.09</v>
      </c>
      <c r="AP255" s="4">
        <v>5.26</v>
      </c>
      <c r="AQ255" s="4">
        <v>4.9000000000000004</v>
      </c>
      <c r="AR255" s="4">
        <v>4.21</v>
      </c>
      <c r="AS255" s="4">
        <v>4.26</v>
      </c>
      <c r="AT255" s="4">
        <v>4.4000000000000004</v>
      </c>
      <c r="AU255" s="4">
        <v>4.7699999999999996</v>
      </c>
      <c r="AV255" s="4">
        <v>4.88</v>
      </c>
      <c r="AW255" s="4">
        <v>5.05</v>
      </c>
      <c r="AX255" s="4">
        <v>5.27</v>
      </c>
      <c r="AY255" s="12">
        <v>5.5</v>
      </c>
      <c r="AZ255" s="12">
        <v>5.93</v>
      </c>
      <c r="BA255" s="12">
        <v>5.99</v>
      </c>
      <c r="BB255" s="15">
        <v>6.69</v>
      </c>
      <c r="BC255" s="52">
        <v>8.5</v>
      </c>
      <c r="BD255" s="52">
        <v>10</v>
      </c>
      <c r="BE255" s="52">
        <v>10.119999999999999</v>
      </c>
      <c r="BF255" s="52">
        <v>9.58</v>
      </c>
      <c r="BG255" s="67">
        <v>10.38</v>
      </c>
      <c r="BH255" s="52">
        <v>10.119999999999999</v>
      </c>
      <c r="BI255" s="52">
        <v>9.01</v>
      </c>
      <c r="BJ255" s="52">
        <v>9.42</v>
      </c>
      <c r="BK255" s="52">
        <v>8.69</v>
      </c>
      <c r="BL255" s="52">
        <v>8.4</v>
      </c>
      <c r="BM255" s="52">
        <v>7.96</v>
      </c>
      <c r="BN255" s="52">
        <v>8.02</v>
      </c>
      <c r="BO255" s="52" cm="1">
        <f t="array" aca="1" ref="BO255" ca="1">_FV(EC255,"Preço")</f>
        <v>8.02</v>
      </c>
      <c r="BP255" s="69" t="s">
        <v>198</v>
      </c>
      <c r="BQ255" s="36" cm="1">
        <f t="array" aca="1" ref="BQ255" ca="1">_FV(EC255,"Média de volume",TRUE)</f>
        <v>492280</v>
      </c>
      <c r="BR255" s="36">
        <v>977700</v>
      </c>
      <c r="BS255" s="36" cm="1">
        <f t="array" aca="1" ref="BS255" ca="1">_FV(EC255,"Volume")</f>
        <v>977700</v>
      </c>
      <c r="BT255" s="24" cm="1">
        <f t="array" aca="1" ref="BT255" ca="1">_FV(EC255,"Beta")</f>
        <v>1.8107</v>
      </c>
      <c r="BU255" s="71" cm="1">
        <f t="array" aca="1" ref="BU255" ca="1">_FV(EC255,"Variação (%)",TRUE)</f>
        <v>1.3906E-2</v>
      </c>
      <c r="BW255" s="17" cm="1">
        <f t="array" aca="1" ref="BW255" ca="1">_FV(EC255,"Baixo")</f>
        <v>7.82</v>
      </c>
      <c r="BX255" s="17" cm="1">
        <f t="array" aca="1" ref="BX255" ca="1">_FV(EC255,"Alto")</f>
        <v>8.18</v>
      </c>
      <c r="BY255" s="24"/>
      <c r="BZ255" s="63">
        <f ca="1">SQRT(22.5*(BO255/VLOOKUP(BP255,Fundamentus!A:U,3,FALSE))*(BO255/VLOOKUP(BP255,Fundamentus!A:U,4,FALSE)))</f>
        <v>9.8132990596904506</v>
      </c>
      <c r="CB255" s="62">
        <f t="shared" ca="1" si="241"/>
        <v>0</v>
      </c>
      <c r="CC255" s="8"/>
      <c r="CD255" s="61">
        <f t="shared" si="242"/>
        <v>4.21</v>
      </c>
      <c r="CE255" s="61">
        <f t="shared" si="243"/>
        <v>10.38</v>
      </c>
      <c r="CF255" s="61">
        <f t="shared" si="244"/>
        <v>6.126060606060606</v>
      </c>
      <c r="CG255" s="14"/>
      <c r="CH255" s="35">
        <f t="shared" si="227"/>
        <v>6.5912406287131748</v>
      </c>
      <c r="CI255" s="15">
        <f t="shared" si="245"/>
        <v>7.6549999999997453</v>
      </c>
      <c r="CJ255" s="35">
        <f t="shared" si="228"/>
        <v>8.7187593712863158</v>
      </c>
      <c r="CL255" s="14"/>
      <c r="CM255" s="17">
        <f t="shared" si="229"/>
        <v>-1.4766666666666692</v>
      </c>
      <c r="CN255" s="17">
        <f t="shared" si="230"/>
        <v>1.3666666666666654</v>
      </c>
      <c r="CO255" s="17">
        <f t="shared" si="231"/>
        <v>4.6933333333333316</v>
      </c>
      <c r="CP255" s="38">
        <f t="shared" si="246"/>
        <v>7.5366666666666662</v>
      </c>
      <c r="CQ255" s="17">
        <f t="shared" si="232"/>
        <v>10.863333333333333</v>
      </c>
      <c r="CR255" s="17">
        <f t="shared" si="233"/>
        <v>13.706666666666667</v>
      </c>
      <c r="CS255" s="17">
        <f t="shared" si="234"/>
        <v>17.033333333333331</v>
      </c>
      <c r="CT255" s="2" cm="1">
        <f t="array" aca="1" ref="CT255" ca="1">MAX(_xlfn._xlws.FILTER(CM255:CS255,CM255:CS255&lt;BO255))</f>
        <v>7.5366666666666662</v>
      </c>
      <c r="CU255" s="2" cm="1">
        <f t="array" aca="1" ref="CU255" ca="1">MIN(_xlfn._xlws.FILTER($CM255:$CS255,$CM255:$CS255&gt;BO255))</f>
        <v>10.863333333333333</v>
      </c>
      <c r="CV255" s="16">
        <f t="shared" ca="1" si="248"/>
        <v>0.44139761167624947</v>
      </c>
      <c r="CW255" s="20">
        <f t="shared" ca="1" si="249"/>
        <v>-0.22069880583812473</v>
      </c>
      <c r="CX255" s="20">
        <f t="shared" ca="1" si="250"/>
        <v>-0.1471325372254165</v>
      </c>
      <c r="CY255" s="20">
        <f t="shared" ca="1" si="251"/>
        <v>-8.8279522335249896E-2</v>
      </c>
      <c r="CZ255" s="20">
        <f t="shared" ca="1" si="252"/>
        <v>-4.9044179075138833E-2</v>
      </c>
      <c r="DA255" s="20">
        <f t="shared" ca="1" si="253"/>
        <v>-2.5964565392720556E-2</v>
      </c>
      <c r="DB255" s="20">
        <f t="shared" ca="1" si="254"/>
        <v>-1.337568520231059E-2</v>
      </c>
      <c r="DC255" s="20">
        <f t="shared" ca="1" si="255"/>
        <v>-6.7907324873269148E-3</v>
      </c>
      <c r="DD255" s="21">
        <f t="shared" ca="1" si="256"/>
        <v>6.7907324873269148E-3</v>
      </c>
      <c r="DE255" s="21">
        <f t="shared" ca="1" si="257"/>
        <v>1.337568520231059E-2</v>
      </c>
      <c r="DF255" s="21">
        <f t="shared" ca="1" si="258"/>
        <v>2.5964565392720556E-2</v>
      </c>
      <c r="DG255" s="21">
        <f t="shared" ca="1" si="259"/>
        <v>4.9044179075138833E-2</v>
      </c>
      <c r="DH255" s="21">
        <f t="shared" ca="1" si="260"/>
        <v>8.8279522335249896E-2</v>
      </c>
      <c r="DI255" s="21">
        <f t="shared" ca="1" si="261"/>
        <v>0.1471325372254165</v>
      </c>
      <c r="DJ255" s="21">
        <f t="shared" ca="1" si="262"/>
        <v>0.22069880583812473</v>
      </c>
      <c r="DL255" s="16" cm="1">
        <f t="array" aca="1" ref="DL255" ca="1">MAX(_xlfn._xlws.FILTER(CW255:DJ255,CW255:DJ255&lt;BU255))</f>
        <v>1.337568520231059E-2</v>
      </c>
      <c r="DM255" s="16" cm="1">
        <f t="array" aca="1" ref="DM255" ca="1">MIN(_xlfn._xlws.FILTER(CW255:DJ255,CW255:DJ255&gt;BU255))</f>
        <v>2.5964565392720556E-2</v>
      </c>
      <c r="DN255" s="2" cm="1">
        <f t="array" aca="1" ref="DN255" ca="1">_FV(EC255,"Fechamento anterior",TRUE)</f>
        <v>7.91</v>
      </c>
      <c r="DO255" s="28">
        <f t="shared" ca="1" si="235"/>
        <v>4.2161202936846949E-2</v>
      </c>
      <c r="DP255" s="15">
        <f t="shared" ca="1" si="263"/>
        <v>8.0158016699502763</v>
      </c>
      <c r="DQ255" s="15">
        <f t="shared" ca="1" si="264"/>
        <v>8.11537971225642</v>
      </c>
      <c r="DR255" s="9"/>
      <c r="DS255" s="9"/>
      <c r="DT255" s="9"/>
      <c r="DU255" s="89">
        <v>1.2852212734514505E-2</v>
      </c>
      <c r="DV255" s="89">
        <f t="shared" ca="1" si="236"/>
        <v>1.2588880190409966E-2</v>
      </c>
      <c r="DW255" s="72">
        <f t="shared" ca="1" si="237"/>
        <v>0.34312271163242741</v>
      </c>
      <c r="DX255" s="37"/>
      <c r="DY255" s="35">
        <f t="shared" si="247"/>
        <v>0.53187968564328525</v>
      </c>
      <c r="DZ255" s="56"/>
      <c r="EA255" s="56"/>
      <c r="EC255" s="2" t="e" vm="257">
        <v>#VALUE!</v>
      </c>
      <c r="EE255" s="10" cm="1">
        <f t="array" aca="1" ref="EE255" ca="1">_FV(EC255,"Ações em circulação",TRUE)</f>
        <v>128721600</v>
      </c>
      <c r="EF255" s="18">
        <f>VLOOKUP(BP255,Fundamentus!A:U,5,FALSE)</f>
        <v>0.51200000000000001</v>
      </c>
      <c r="EG255" s="2">
        <f t="shared" ca="1" si="238"/>
        <v>2016303187.5</v>
      </c>
      <c r="EH255" s="17">
        <v>58472792.4375</v>
      </c>
      <c r="EI255" s="17">
        <f t="shared" ca="1" si="239"/>
        <v>58472792.4375</v>
      </c>
      <c r="EK255" s="16">
        <f t="shared" ca="1" si="226"/>
        <v>0</v>
      </c>
      <c r="EL255" s="32" t="str">
        <f>IF(VLOOKUP(BP255,Fundamentus!A:U,3,FALSE)&lt;15,"Bom",IF(VLOOKUP(BP255,Fundamentus!A:U,3,FALSE)&gt;15,"Ruim","n/a"))</f>
        <v>Ruim</v>
      </c>
      <c r="EM255" s="28" t="str">
        <f>IF(VLOOKUP(BP255,Fundamentus!A:U,4,FALSE)&lt;1,"Baixo",IF(VLOOKUP(BP255,Fundamentus!A:U,4,FALSE)&lt;1.5,"Moderado",IF(VLOOKUP(BP255,Fundamentus!A:U,4,FALSE)&gt;1.5,"Alto","n/a")))</f>
        <v>Baixo</v>
      </c>
      <c r="EN255" s="17" t="str">
        <f>IF(VLOOKUP(BP255,Fundamentus!A:U,8,FALSE)&lt;0,"Risco elevado",IF(VLOOKUP(BP255,Fundamentus!A:U,8,FALSE)&lt;1,"Saudável",IF(VLOOKUP(BP255,Fundamentus!A:U,8,FALSE)&lt;3,"Estável",IF(VLOOKUP(BP255,Fundamentus!A:U,8,FALSE)&gt;3,"Alerta","n/a"))))</f>
        <v>Alerta</v>
      </c>
      <c r="EO255" s="28" t="str">
        <f t="shared" si="240"/>
        <v>Ruim</v>
      </c>
      <c r="EP255" s="17" t="str">
        <f>IF(VLOOKUP(BP255,Fundamentus!A:U,12,FALSE)&lt;2,"Subvalorizada",IF(VLOOKUP(BP255,Fundamentus!A:U,12,FALSE)&lt;6,"Muita barata",IF(VLOOKUP(BP255,Fundamentus!A:U,12,FALSE)&lt;6,"Barata",IF(VLOOKUP(BP255,Fundamentus!A:U,12,FALSE)&lt;8,"Atrativa",IF(VLOOKUP(BP255,Fundamentus!A:U,12,FALSE)&gt;8,"Supervalorizada","n/a")))))</f>
        <v>Muita barata</v>
      </c>
      <c r="ER255" s="17" t="str">
        <f>IF(VLOOKUP(BP255,Fundamentus!A:U,17,FALSE)&lt;0.1,"Fraco retorno",IF(VLOOKUP(BP255,Fundamentus!A:U,17,FALSE)&gt;0.1,"Bom retorno","n/a"))</f>
        <v>Fraco retorno</v>
      </c>
      <c r="ES255" s="17" t="str">
        <f>IF(VLOOKUP(BP255,Fundamentus!A:U,16,FALSE)&lt;0.1,"Ineficiente",IF(VLOOKUP(BP255,Fundamentus!A:U,16,FALSE)&gt;0.1,"Eficiente","n/a"))</f>
        <v>Eficiente</v>
      </c>
      <c r="ET255" s="33" t="str">
        <f>IF(VLOOKUP(BP255,Fundamentus!A:U,16,FALSE)&lt;0.1,"Oper. Ineficiente",IF(VLOOKUP(BP255,Fundamentus!A:U,16,FALSE)&gt;0.1,"Oper.Eficiente","n/a"))</f>
        <v>Oper.Eficiente</v>
      </c>
      <c r="EU255" s="34">
        <f>VLOOKUP(BP255,Fundamentus!A:U,14,FALSE)</f>
        <v>2.9000000000000001E-2</v>
      </c>
      <c r="EV255" s="17" t="str">
        <f>IF(VLOOKUP(BP255,Fundamentus!A:U,21,FALSE)&lt;0,"Negativo",IF(VLOOKUP(BP255,Fundamentus!A:U,21,FALSE)&lt;0.05,"Fraco",IF(VLOOKUP(BP255,Fundamentus!A:U,21,FALSE)&lt;0.1,"Bom",IF(VLOOKUP(BP255,Fundamentus!A:U,21,FALSE)&gt;0.1,"Muito bom","n/a"))))</f>
        <v>Muito bom</v>
      </c>
      <c r="EX255" s="29" t="str">
        <f>IF(VLOOKUP(BP255,Fundamentus!A:U,15,FALSE)&gt;1,"Bom",IF(VLOOKUP(BP255,Fundamentus!A:U,15,FALSE)&lt;1,"Ruim","n/a"))</f>
        <v>Bom</v>
      </c>
      <c r="EY255" s="17" t="str">
        <f>IF(VLOOKUP(BP255,Fundamentus!A:U,20,FALSE)&lt;0.5,"Baixa",IF(VLOOKUP(BP255,Fundamentus!A:U,20,FALSE)&lt;1,"Moderada",IF(VLOOKUP(BP255,Fundamentus!A:U,20,FALSE)&lt;2,"Alerta",IF(VLOOKUP(BP255,Fundamentus!A:U,20,FALSE)&gt;2,"Alta","n/a"))))</f>
        <v>Moderada</v>
      </c>
    </row>
    <row r="256" spans="1:155" s="2" customFormat="1" ht="11.25" x14ac:dyDescent="0.2">
      <c r="A256" s="4">
        <v>8.23</v>
      </c>
      <c r="B256" s="4">
        <v>8.07</v>
      </c>
      <c r="C256" s="4">
        <v>8</v>
      </c>
      <c r="D256" s="4">
        <v>8.26</v>
      </c>
      <c r="E256" s="4">
        <v>7.95</v>
      </c>
      <c r="F256" s="4">
        <v>7.78</v>
      </c>
      <c r="G256" s="4">
        <v>7.67</v>
      </c>
      <c r="H256" s="4">
        <v>7.82</v>
      </c>
      <c r="I256" s="4">
        <v>8.07</v>
      </c>
      <c r="J256" s="4">
        <v>8.6199999999999992</v>
      </c>
      <c r="K256" s="4">
        <v>8.9</v>
      </c>
      <c r="L256" s="4">
        <v>8.6199999999999992</v>
      </c>
      <c r="M256" s="4">
        <v>8.2200000000000006</v>
      </c>
      <c r="N256" s="4">
        <v>7.99</v>
      </c>
      <c r="O256" s="4">
        <v>8.01</v>
      </c>
      <c r="P256" s="4">
        <v>8.25</v>
      </c>
      <c r="Q256" s="4">
        <v>8.35</v>
      </c>
      <c r="R256" s="4">
        <v>8.15</v>
      </c>
      <c r="S256" s="4">
        <v>7.82</v>
      </c>
      <c r="T256" s="4">
        <v>7.96</v>
      </c>
      <c r="U256" s="4">
        <v>7.72</v>
      </c>
      <c r="V256" s="4">
        <v>7.68</v>
      </c>
      <c r="W256" s="4">
        <v>7.88</v>
      </c>
      <c r="X256" s="4">
        <v>7.66</v>
      </c>
      <c r="Y256" s="4">
        <v>7.53</v>
      </c>
      <c r="Z256" s="4">
        <v>7.46</v>
      </c>
      <c r="AA256" s="4">
        <v>7.35</v>
      </c>
      <c r="AB256" s="4">
        <v>7.7</v>
      </c>
      <c r="AC256" s="4">
        <v>7.57</v>
      </c>
      <c r="AD256" s="4">
        <v>7.93</v>
      </c>
      <c r="AE256" s="4">
        <v>7.8</v>
      </c>
      <c r="AF256" s="4">
        <v>7.58</v>
      </c>
      <c r="AG256" s="4">
        <v>8.1</v>
      </c>
      <c r="AH256" s="4">
        <v>8.0500000000000007</v>
      </c>
      <c r="AI256" s="4">
        <v>8.08</v>
      </c>
      <c r="AJ256" s="4">
        <v>7.58</v>
      </c>
      <c r="AK256" s="4">
        <v>7.53</v>
      </c>
      <c r="AL256" s="4">
        <v>7.68</v>
      </c>
      <c r="AM256" s="4">
        <v>7.75</v>
      </c>
      <c r="AN256" s="4">
        <v>7.79</v>
      </c>
      <c r="AO256" s="4">
        <v>7.61</v>
      </c>
      <c r="AP256" s="4">
        <v>7.85</v>
      </c>
      <c r="AQ256" s="4">
        <v>7.74</v>
      </c>
      <c r="AR256" s="4">
        <v>7.46</v>
      </c>
      <c r="AS256" s="4">
        <v>7.71</v>
      </c>
      <c r="AT256" s="4">
        <v>7.8</v>
      </c>
      <c r="AU256" s="4">
        <v>7.7</v>
      </c>
      <c r="AV256" s="4">
        <v>7.36</v>
      </c>
      <c r="AW256" s="4">
        <v>7.02</v>
      </c>
      <c r="AX256" s="4">
        <v>7.09</v>
      </c>
      <c r="AY256" s="12">
        <v>7.21</v>
      </c>
      <c r="AZ256" s="12">
        <v>7.26</v>
      </c>
      <c r="BA256" s="12">
        <v>7.25</v>
      </c>
      <c r="BB256" s="15">
        <v>7.15</v>
      </c>
      <c r="BC256" s="52">
        <v>7.08</v>
      </c>
      <c r="BD256" s="52">
        <v>6.92</v>
      </c>
      <c r="BE256" s="52">
        <v>7.02</v>
      </c>
      <c r="BF256" s="52">
        <v>7.06</v>
      </c>
      <c r="BG256" s="67">
        <v>7.02</v>
      </c>
      <c r="BH256" s="52">
        <v>6.79</v>
      </c>
      <c r="BI256" s="52">
        <v>6.8</v>
      </c>
      <c r="BJ256" s="52">
        <v>6.94</v>
      </c>
      <c r="BK256" s="52">
        <v>6.83</v>
      </c>
      <c r="BL256" s="52">
        <v>6.6</v>
      </c>
      <c r="BM256" s="52">
        <v>6.73</v>
      </c>
      <c r="BN256" s="52">
        <v>6.5</v>
      </c>
      <c r="BO256" s="52" cm="1">
        <f t="array" aca="1" ref="BO256" ca="1">_FV(EC256,"Preço")</f>
        <v>6.5</v>
      </c>
      <c r="BP256" s="69" t="s">
        <v>252</v>
      </c>
      <c r="BQ256" s="36" cm="1">
        <f t="array" aca="1" ref="BQ256" ca="1">_FV(EC256,"Média de volume",TRUE)</f>
        <v>445750</v>
      </c>
      <c r="BR256" s="36">
        <v>508300</v>
      </c>
      <c r="BS256" s="36" cm="1">
        <f t="array" aca="1" ref="BS256" ca="1">_FV(EC256,"Volume")</f>
        <v>508300</v>
      </c>
      <c r="BT256" s="24" cm="1">
        <f t="array" aca="1" ref="BT256" ca="1">_FV(EC256,"Beta")</f>
        <v>0.35</v>
      </c>
      <c r="BU256" s="71" cm="1">
        <f t="array" aca="1" ref="BU256" ca="1">_FV(EC256,"Variação (%)",TRUE)</f>
        <v>-1.8127000000000001E-2</v>
      </c>
      <c r="BW256" s="17" cm="1">
        <f t="array" aca="1" ref="BW256" ca="1">_FV(EC256,"Baixo")</f>
        <v>6.5</v>
      </c>
      <c r="BX256" s="17" cm="1">
        <f t="array" aca="1" ref="BX256" ca="1">_FV(EC256,"Alto")</f>
        <v>6.64</v>
      </c>
      <c r="BY256" s="24"/>
      <c r="BZ256" s="63">
        <f ca="1">SQRT(22.5*(BO256/VLOOKUP(BP256,Fundamentus!A:U,3,FALSE))*(BO256/VLOOKUP(BP256,Fundamentus!A:U,4,FALSE)))</f>
        <v>13.169424328263291</v>
      </c>
      <c r="CB256" s="62">
        <f t="shared" ca="1" si="241"/>
        <v>0</v>
      </c>
      <c r="CC256" s="8"/>
      <c r="CD256" s="61">
        <f t="shared" si="242"/>
        <v>6.5</v>
      </c>
      <c r="CE256" s="61">
        <f t="shared" si="243"/>
        <v>8.9</v>
      </c>
      <c r="CF256" s="61">
        <f t="shared" si="244"/>
        <v>7.6312121212121209</v>
      </c>
      <c r="CG256" s="14"/>
      <c r="CH256" s="35">
        <f t="shared" si="227"/>
        <v>6.1358026098134442</v>
      </c>
      <c r="CI256" s="15">
        <f t="shared" si="245"/>
        <v>6.4499999999999318</v>
      </c>
      <c r="CJ256" s="35">
        <f t="shared" si="228"/>
        <v>6.7641973901864194</v>
      </c>
      <c r="CL256" s="14"/>
      <c r="CM256" s="17">
        <f t="shared" si="229"/>
        <v>3.2999999999999989</v>
      </c>
      <c r="CN256" s="17">
        <f t="shared" si="230"/>
        <v>4.8999999999999995</v>
      </c>
      <c r="CO256" s="17">
        <f t="shared" si="231"/>
        <v>5.6999999999999993</v>
      </c>
      <c r="CP256" s="38">
        <f t="shared" si="246"/>
        <v>7.3</v>
      </c>
      <c r="CQ256" s="17">
        <f t="shared" si="232"/>
        <v>8.1</v>
      </c>
      <c r="CR256" s="17">
        <f t="shared" si="233"/>
        <v>9.6999999999999993</v>
      </c>
      <c r="CS256" s="17">
        <f t="shared" si="234"/>
        <v>10.5</v>
      </c>
      <c r="CT256" s="2" cm="1">
        <f t="array" aca="1" ref="CT256" ca="1">MAX(_xlfn._xlws.FILTER(CM256:CS256,CM256:CS256&lt;BO256))</f>
        <v>5.6999999999999993</v>
      </c>
      <c r="CU256" s="2" cm="1">
        <f t="array" aca="1" ref="CU256" ca="1">MIN(_xlfn._xlws.FILTER($CM256:$CS256,$CM256:$CS256&gt;BO256))</f>
        <v>7.3</v>
      </c>
      <c r="CV256" s="16">
        <f t="shared" ref="CV256:CV261" ca="1" si="265">(CU256/CT256)-1</f>
        <v>0.28070175438596512</v>
      </c>
      <c r="CW256" s="20">
        <f t="shared" ref="CW256:CW261" ca="1" si="266">-$CV256/2</f>
        <v>-0.14035087719298256</v>
      </c>
      <c r="CX256" s="20">
        <f t="shared" ref="CX256:CX261" ca="1" si="267">-$CV256/3</f>
        <v>-9.3567251461988368E-2</v>
      </c>
      <c r="CY256" s="20">
        <f t="shared" ref="CY256:CY261" ca="1" si="268">-$CV256/5</f>
        <v>-5.6140350877193025E-2</v>
      </c>
      <c r="CZ256" s="20">
        <f t="shared" ref="CZ256:CZ261" ca="1" si="269">-$CV256/9</f>
        <v>-3.1189083820662791E-2</v>
      </c>
      <c r="DA256" s="20">
        <f t="shared" ref="DA256:DA263" ca="1" si="270">-$CV256/17</f>
        <v>-1.6511867905056772E-2</v>
      </c>
      <c r="DB256" s="20">
        <f t="shared" ref="DB256:DB263" ca="1" si="271">-$CV256/33</f>
        <v>-8.5061137692716698E-3</v>
      </c>
      <c r="DC256" s="20">
        <f t="shared" ref="DC256:DC263" ca="1" si="272">-$CV256/65</f>
        <v>-4.3184885290148481E-3</v>
      </c>
      <c r="DD256" s="21">
        <f t="shared" ref="DD256:DD263" ca="1" si="273">-$CV256/65*-1</f>
        <v>4.3184885290148481E-3</v>
      </c>
      <c r="DE256" s="21">
        <f t="shared" ref="DE256:DE263" ca="1" si="274">-$CV256/33*-1</f>
        <v>8.5061137692716698E-3</v>
      </c>
      <c r="DF256" s="21">
        <f t="shared" ref="DF256:DF263" ca="1" si="275">-$CV256/17*-1</f>
        <v>1.6511867905056772E-2</v>
      </c>
      <c r="DG256" s="21">
        <f t="shared" ref="DG256:DG261" ca="1" si="276">-$CV256/9*-1</f>
        <v>3.1189083820662791E-2</v>
      </c>
      <c r="DH256" s="21">
        <f t="shared" ref="DH256:DH261" ca="1" si="277">-$CV256/5*-1</f>
        <v>5.6140350877193025E-2</v>
      </c>
      <c r="DI256" s="21">
        <f t="shared" ref="DI256:DI261" ca="1" si="278">-$CV256/3*-1</f>
        <v>9.3567251461988368E-2</v>
      </c>
      <c r="DJ256" s="21">
        <f t="shared" ref="DJ256:DJ261" ca="1" si="279">-$CV256/2*-1</f>
        <v>0.14035087719298256</v>
      </c>
      <c r="DL256" s="16" cm="1">
        <f t="array" aca="1" ref="DL256" ca="1">MAX(_xlfn._xlws.FILTER(CW256:DJ256,CW256:DJ256&lt;BU256))</f>
        <v>-3.1189083820662791E-2</v>
      </c>
      <c r="DM256" s="16" cm="1">
        <f t="array" aca="1" ref="DM256" ca="1">MIN(_xlfn._xlws.FILTER(CW256:DJ256,CW256:DJ256&gt;BU256))</f>
        <v>-1.6511867905056772E-2</v>
      </c>
      <c r="DN256" s="2" cm="1">
        <f t="array" aca="1" ref="DN256" ca="1">_FV(EC256,"Fechamento anterior",TRUE)</f>
        <v>6.62</v>
      </c>
      <c r="DO256" s="28">
        <f t="shared" ca="1" si="235"/>
        <v>0.88996412386706569</v>
      </c>
      <c r="DP256" s="15">
        <f t="shared" ref="DP256:DP260" ca="1" si="280">DN256+(DN256*DL256)</f>
        <v>6.4135282651072121</v>
      </c>
      <c r="DQ256" s="15">
        <f t="shared" ref="DQ256:DQ260" ca="1" si="281">DN256+(DN256*DM256)</f>
        <v>6.5106914344685247</v>
      </c>
      <c r="DR256" s="9"/>
      <c r="DS256" s="9"/>
      <c r="DT256" s="9"/>
      <c r="DU256" s="89">
        <v>8.08791208791209E-3</v>
      </c>
      <c r="DV256" s="89">
        <f t="shared" ca="1" si="236"/>
        <v>1.4677215915606018E-2</v>
      </c>
      <c r="DW256" s="72">
        <f t="shared" ca="1" si="237"/>
        <v>0.15913563117246576</v>
      </c>
      <c r="DX256" s="37"/>
      <c r="DY256" s="35">
        <f t="shared" si="247"/>
        <v>0.15709869509324403</v>
      </c>
      <c r="DZ256" s="56"/>
      <c r="EA256" s="56"/>
      <c r="EC256" s="2" t="e" vm="258">
        <v>#VALUE!</v>
      </c>
      <c r="EE256" s="10" cm="1">
        <f t="array" aca="1" ref="EE256" ca="1">_FV(EC256,"Ações em circulação",TRUE)</f>
        <v>353175000</v>
      </c>
      <c r="EF256" s="18">
        <f>VLOOKUP(BP256,Fundamentus!A:U,5,FALSE)</f>
        <v>1.0529999999999999</v>
      </c>
      <c r="EG256" s="2">
        <f t="shared" ca="1" si="238"/>
        <v>2180092592.5925927</v>
      </c>
      <c r="EH256" s="17">
        <v>297582638.88888896</v>
      </c>
      <c r="EI256" s="17">
        <f t="shared" ca="1" si="239"/>
        <v>297582638.88888896</v>
      </c>
      <c r="EK256" s="16">
        <f t="shared" ca="1" si="226"/>
        <v>0</v>
      </c>
      <c r="EL256" s="32" t="str">
        <f>IF(VLOOKUP(BP256,Fundamentus!A:U,3,FALSE)&lt;15,"Bom",IF(VLOOKUP(BP256,Fundamentus!A:U,3,FALSE)&gt;15,"Ruim","n/a"))</f>
        <v>Bom</v>
      </c>
      <c r="EM256" s="28" t="str">
        <f>IF(VLOOKUP(BP256,Fundamentus!A:U,4,FALSE)&lt;1,"Baixo",IF(VLOOKUP(BP256,Fundamentus!A:U,4,FALSE)&lt;1.5,"Moderado",IF(VLOOKUP(BP256,Fundamentus!A:U,4,FALSE)&gt;1.5,"Alto","n/a")))</f>
        <v>Baixo</v>
      </c>
      <c r="EN256" s="17" t="str">
        <f>IF(VLOOKUP(BP256,Fundamentus!A:U,8,FALSE)&lt;0,"Risco elevado",IF(VLOOKUP(BP256,Fundamentus!A:U,8,FALSE)&lt;1,"Saudável",IF(VLOOKUP(BP256,Fundamentus!A:U,8,FALSE)&lt;3,"Estável",IF(VLOOKUP(BP256,Fundamentus!A:U,8,FALSE)&gt;3,"Alerta","n/a"))))</f>
        <v>Estável</v>
      </c>
      <c r="EO256" s="28" t="str">
        <f t="shared" si="240"/>
        <v>Bom</v>
      </c>
      <c r="EP256" s="17" t="str">
        <f>IF(VLOOKUP(BP256,Fundamentus!A:U,12,FALSE)&lt;2,"Subvalorizada",IF(VLOOKUP(BP256,Fundamentus!A:U,12,FALSE)&lt;6,"Muita barata",IF(VLOOKUP(BP256,Fundamentus!A:U,12,FALSE)&lt;6,"Barata",IF(VLOOKUP(BP256,Fundamentus!A:U,12,FALSE)&lt;8,"Atrativa",IF(VLOOKUP(BP256,Fundamentus!A:U,12,FALSE)&gt;8,"Supervalorizada","n/a")))))</f>
        <v>Muita barata</v>
      </c>
      <c r="ER256" s="17" t="str">
        <f>IF(VLOOKUP(BP256,Fundamentus!A:U,17,FALSE)&lt;0.1,"Fraco retorno",IF(VLOOKUP(BP256,Fundamentus!A:U,17,FALSE)&gt;0.1,"Bom retorno","n/a"))</f>
        <v>Fraco retorno</v>
      </c>
      <c r="ES256" s="17" t="str">
        <f>IF(VLOOKUP(BP256,Fundamentus!A:U,16,FALSE)&lt;0.1,"Ineficiente",IF(VLOOKUP(BP256,Fundamentus!A:U,16,FALSE)&gt;0.1,"Eficiente","n/a"))</f>
        <v>Ineficiente</v>
      </c>
      <c r="ET256" s="33" t="str">
        <f>IF(VLOOKUP(BP256,Fundamentus!A:U,16,FALSE)&lt;0.1,"Oper. Ineficiente",IF(VLOOKUP(BP256,Fundamentus!A:U,16,FALSE)&gt;0.1,"Oper.Eficiente","n/a"))</f>
        <v>Oper. Ineficiente</v>
      </c>
      <c r="EU256" s="34">
        <f>VLOOKUP(BP256,Fundamentus!A:U,14,FALSE)</f>
        <v>0.13650000000000001</v>
      </c>
      <c r="EV256" s="17" t="str">
        <f>IF(VLOOKUP(BP256,Fundamentus!A:U,21,FALSE)&lt;0,"Negativo",IF(VLOOKUP(BP256,Fundamentus!A:U,21,FALSE)&lt;0.05,"Fraco",IF(VLOOKUP(BP256,Fundamentus!A:U,21,FALSE)&lt;0.1,"Bom",IF(VLOOKUP(BP256,Fundamentus!A:U,21,FALSE)&gt;0.1,"Muito bom","n/a"))))</f>
        <v>Fraco</v>
      </c>
      <c r="EX256" s="29" t="str">
        <f>IF(VLOOKUP(BP256,Fundamentus!A:U,15,FALSE)&gt;1,"Bom",IF(VLOOKUP(BP256,Fundamentus!A:U,15,FALSE)&lt;1,"Ruim","n/a"))</f>
        <v>Bom</v>
      </c>
      <c r="EY256" s="17" t="str">
        <f>IF(VLOOKUP(BP256,Fundamentus!A:U,20,FALSE)&lt;0.5,"Baixa",IF(VLOOKUP(BP256,Fundamentus!A:U,20,FALSE)&lt;1,"Moderada",IF(VLOOKUP(BP256,Fundamentus!A:U,20,FALSE)&lt;2,"Alerta",IF(VLOOKUP(BP256,Fundamentus!A:U,20,FALSE)&gt;2,"Alta","n/a"))))</f>
        <v>Baixa</v>
      </c>
    </row>
    <row r="257" spans="1:155" s="2" customFormat="1" ht="11.25" x14ac:dyDescent="0.2">
      <c r="A257" s="4">
        <v>4.5999999999999996</v>
      </c>
      <c r="B257" s="4">
        <v>4.82</v>
      </c>
      <c r="C257" s="4">
        <v>5.27</v>
      </c>
      <c r="D257" s="4">
        <v>4.72</v>
      </c>
      <c r="E257" s="4">
        <v>4.3099999999999996</v>
      </c>
      <c r="F257" s="4">
        <v>4.13</v>
      </c>
      <c r="G257" s="4">
        <v>3.97</v>
      </c>
      <c r="H257" s="4">
        <v>3.82</v>
      </c>
      <c r="I257" s="4">
        <v>3.71</v>
      </c>
      <c r="J257" s="4">
        <v>4.1500000000000004</v>
      </c>
      <c r="K257" s="4">
        <v>4.4400000000000004</v>
      </c>
      <c r="L257" s="4">
        <v>4.09</v>
      </c>
      <c r="M257" s="4">
        <v>4.07</v>
      </c>
      <c r="N257" s="4">
        <v>4.07</v>
      </c>
      <c r="O257" s="4">
        <v>4.38</v>
      </c>
      <c r="P257" s="4">
        <v>3.96</v>
      </c>
      <c r="Q257" s="4">
        <v>4.4400000000000004</v>
      </c>
      <c r="R257" s="4">
        <v>4.25</v>
      </c>
      <c r="S257" s="4">
        <v>4.3</v>
      </c>
      <c r="T257" s="4">
        <v>4.1399999999999997</v>
      </c>
      <c r="U257" s="4">
        <v>3.78</v>
      </c>
      <c r="V257" s="4">
        <v>3.4</v>
      </c>
      <c r="W257" s="4">
        <v>3.08</v>
      </c>
      <c r="X257" s="4">
        <v>2.89</v>
      </c>
      <c r="Y257" s="4">
        <v>2.82</v>
      </c>
      <c r="Z257" s="4">
        <v>2.84</v>
      </c>
      <c r="AA257" s="4">
        <v>2.74</v>
      </c>
      <c r="AB257" s="4">
        <v>2.78</v>
      </c>
      <c r="AC257" s="4">
        <v>2.77</v>
      </c>
      <c r="AD257" s="4">
        <v>2.81</v>
      </c>
      <c r="AE257" s="4">
        <v>2.6</v>
      </c>
      <c r="AF257" s="4">
        <v>2.56</v>
      </c>
      <c r="AG257" s="4">
        <v>2.5499999999999998</v>
      </c>
      <c r="AH257" s="4">
        <v>2.2999999999999998</v>
      </c>
      <c r="AI257" s="4">
        <v>2.2000000000000002</v>
      </c>
      <c r="AJ257" s="4">
        <v>2.0699999999999998</v>
      </c>
      <c r="AK257" s="4">
        <v>2.06</v>
      </c>
      <c r="AL257" s="4">
        <v>2.09</v>
      </c>
      <c r="AM257" s="4">
        <v>2.15</v>
      </c>
      <c r="AN257" s="4">
        <v>2.3199999999999998</v>
      </c>
      <c r="AO257" s="4">
        <v>2.23</v>
      </c>
      <c r="AP257" s="4">
        <v>2.25</v>
      </c>
      <c r="AQ257" s="4">
        <v>2.23</v>
      </c>
      <c r="AR257" s="4">
        <v>2.16</v>
      </c>
      <c r="AS257" s="4">
        <v>2.1800000000000002</v>
      </c>
      <c r="AT257" s="4">
        <v>2.33</v>
      </c>
      <c r="AU257" s="4">
        <v>2.3149999999999999</v>
      </c>
      <c r="AV257" s="4">
        <v>2.95</v>
      </c>
      <c r="AW257" s="4">
        <v>2.84</v>
      </c>
      <c r="AX257" s="4">
        <v>2.58</v>
      </c>
      <c r="AY257" s="12">
        <v>2.68</v>
      </c>
      <c r="AZ257" s="12">
        <v>2.87</v>
      </c>
      <c r="BA257" s="12">
        <v>2.76</v>
      </c>
      <c r="BB257" s="15">
        <v>2.75</v>
      </c>
      <c r="BC257" s="52">
        <v>3.02</v>
      </c>
      <c r="BD257" s="52">
        <v>3.08</v>
      </c>
      <c r="BE257" s="52">
        <v>2.88</v>
      </c>
      <c r="BF257" s="52">
        <v>2.71</v>
      </c>
      <c r="BG257" s="67">
        <v>2.5099999999999998</v>
      </c>
      <c r="BH257" s="52">
        <v>2.5299999999999998</v>
      </c>
      <c r="BI257" s="52">
        <v>2.54</v>
      </c>
      <c r="BJ257" s="52">
        <v>2.6</v>
      </c>
      <c r="BK257" s="52">
        <v>2.39</v>
      </c>
      <c r="BL257" s="52">
        <v>2.37</v>
      </c>
      <c r="BM257" s="52">
        <v>2.48</v>
      </c>
      <c r="BN257" s="52">
        <v>2.5</v>
      </c>
      <c r="BO257" s="52" cm="1">
        <f t="array" aca="1" ref="BO257" ca="1">_FV(EC257,"Preço")</f>
        <v>2.5</v>
      </c>
      <c r="BP257" s="69" t="s">
        <v>253</v>
      </c>
      <c r="BQ257" s="36" cm="1">
        <f t="array" aca="1" ref="BQ257" ca="1">_FV(EC257,"Média de volume",TRUE)</f>
        <v>1253520</v>
      </c>
      <c r="BR257" s="36">
        <v>2189800</v>
      </c>
      <c r="BS257" s="36" cm="1">
        <f t="array" aca="1" ref="BS257" ca="1">_FV(EC257,"Volume")</f>
        <v>2189800</v>
      </c>
      <c r="BT257" s="24" cm="1">
        <f t="array" aca="1" ref="BT257" ca="1">_FV(EC257,"Beta")</f>
        <v>1.7988</v>
      </c>
      <c r="BU257" s="71" cm="1">
        <f t="array" aca="1" ref="BU257" ca="1">_FV(EC257,"Variação (%)",TRUE)</f>
        <v>3.3058000000000004E-2</v>
      </c>
      <c r="BW257" s="17" cm="1">
        <f t="array" aca="1" ref="BW257" ca="1">_FV(EC257,"Baixo")</f>
        <v>2.44</v>
      </c>
      <c r="BX257" s="17" cm="1">
        <f t="array" aca="1" ref="BX257" ca="1">_FV(EC257,"Alto")</f>
        <v>2.54</v>
      </c>
      <c r="BY257" s="24"/>
      <c r="BZ257" s="63" t="e">
        <f ca="1">SQRT(22.5*(BO257/VLOOKUP(BP257,Fundamentus!A:U,3,FALSE))*(BO257/VLOOKUP(BP257,Fundamentus!A:U,4,FALSE)))</f>
        <v>#NUM!</v>
      </c>
      <c r="CB257" s="62">
        <f t="shared" ca="1" si="241"/>
        <v>0</v>
      </c>
      <c r="CC257" s="8"/>
      <c r="CD257" s="61">
        <f t="shared" si="242"/>
        <v>2.06</v>
      </c>
      <c r="CE257" s="61">
        <f t="shared" si="243"/>
        <v>5.27</v>
      </c>
      <c r="CF257" s="61">
        <f t="shared" si="244"/>
        <v>3.1088636363636355</v>
      </c>
      <c r="CG257" s="14"/>
      <c r="CH257" s="35">
        <f t="shared" si="227"/>
        <v>2.3793980676441402</v>
      </c>
      <c r="CI257" s="15">
        <f t="shared" si="245"/>
        <v>2.5450000000000159</v>
      </c>
      <c r="CJ257" s="35">
        <f t="shared" si="228"/>
        <v>2.7106019323558916</v>
      </c>
      <c r="CL257" s="14"/>
      <c r="CM257" s="17">
        <f t="shared" si="229"/>
        <v>-1.9266666666666654</v>
      </c>
      <c r="CN257" s="17">
        <f t="shared" si="230"/>
        <v>6.6666666666667318E-2</v>
      </c>
      <c r="CO257" s="17">
        <f t="shared" si="231"/>
        <v>1.2833333333333341</v>
      </c>
      <c r="CP257" s="38">
        <f t="shared" si="246"/>
        <v>3.2766666666666668</v>
      </c>
      <c r="CQ257" s="17">
        <f t="shared" si="232"/>
        <v>4.4933333333333341</v>
      </c>
      <c r="CR257" s="17">
        <f t="shared" si="233"/>
        <v>6.4866666666666664</v>
      </c>
      <c r="CS257" s="17">
        <f t="shared" si="234"/>
        <v>7.7033333333333331</v>
      </c>
      <c r="CT257" s="2" cm="1">
        <f t="array" aca="1" ref="CT257" ca="1">MAX(_xlfn._xlws.FILTER(CM257:CS257,CM257:CS257&lt;BO257))</f>
        <v>1.2833333333333341</v>
      </c>
      <c r="CU257" s="2" cm="1">
        <f t="array" aca="1" ref="CU257" ca="1">MIN(_xlfn._xlws.FILTER($CM257:$CS257,$CM257:$CS257&gt;BO257))</f>
        <v>3.2766666666666668</v>
      </c>
      <c r="CV257" s="16">
        <f t="shared" ca="1" si="265"/>
        <v>1.5532467532467518</v>
      </c>
      <c r="CW257" s="20">
        <f t="shared" ca="1" si="266"/>
        <v>-0.77662337662337588</v>
      </c>
      <c r="CX257" s="20">
        <f t="shared" ca="1" si="267"/>
        <v>-0.51774891774891729</v>
      </c>
      <c r="CY257" s="20">
        <f t="shared" ca="1" si="268"/>
        <v>-0.31064935064935034</v>
      </c>
      <c r="CZ257" s="20">
        <f t="shared" ca="1" si="269"/>
        <v>-0.17258297258297242</v>
      </c>
      <c r="DA257" s="20">
        <f t="shared" ca="1" si="270"/>
        <v>-9.1367456073338335E-2</v>
      </c>
      <c r="DB257" s="20">
        <f t="shared" ca="1" si="271"/>
        <v>-4.7068083431719754E-2</v>
      </c>
      <c r="DC257" s="20">
        <f t="shared" ca="1" si="272"/>
        <v>-2.3896103896103874E-2</v>
      </c>
      <c r="DD257" s="21">
        <f t="shared" ca="1" si="273"/>
        <v>2.3896103896103874E-2</v>
      </c>
      <c r="DE257" s="21">
        <f t="shared" ca="1" si="274"/>
        <v>4.7068083431719754E-2</v>
      </c>
      <c r="DF257" s="21">
        <f t="shared" ca="1" si="275"/>
        <v>9.1367456073338335E-2</v>
      </c>
      <c r="DG257" s="21">
        <f t="shared" ca="1" si="276"/>
        <v>0.17258297258297242</v>
      </c>
      <c r="DH257" s="21">
        <f t="shared" ca="1" si="277"/>
        <v>0.31064935064935034</v>
      </c>
      <c r="DI257" s="21">
        <f t="shared" ca="1" si="278"/>
        <v>0.51774891774891729</v>
      </c>
      <c r="DJ257" s="21">
        <f t="shared" ca="1" si="279"/>
        <v>0.77662337662337588</v>
      </c>
      <c r="DL257" s="16" cm="1">
        <f t="array" aca="1" ref="DL257" ca="1">MAX(_xlfn._xlws.FILTER(CW257:DJ257,CW257:DJ257&lt;BU257))</f>
        <v>2.3896103896103874E-2</v>
      </c>
      <c r="DM257" s="16" cm="1">
        <f t="array" aca="1" ref="DM257" ca="1">MIN(_xlfn._xlws.FILTER(CW257:DJ257,CW257:DJ257&gt;BU257))</f>
        <v>4.7068083431719754E-2</v>
      </c>
      <c r="DN257" s="2" cm="1">
        <f t="array" aca="1" ref="DN257" ca="1">_FV(EC257,"Fechamento anterior",TRUE)</f>
        <v>2.42</v>
      </c>
      <c r="DO257" s="28">
        <f t="shared" ca="1" si="235"/>
        <v>0.39538043478261214</v>
      </c>
      <c r="DP257" s="15">
        <f t="shared" ca="1" si="280"/>
        <v>2.4778285714285713</v>
      </c>
      <c r="DQ257" s="15">
        <f t="shared" ca="1" si="281"/>
        <v>2.5339047619047617</v>
      </c>
      <c r="DR257" s="9"/>
      <c r="DS257" s="9"/>
      <c r="DT257" s="9"/>
      <c r="DU257" s="89">
        <v>5.2367688022284135E-2</v>
      </c>
      <c r="DV257" s="89">
        <f t="shared" ca="1" si="236"/>
        <v>2.317197953561588E-2</v>
      </c>
      <c r="DW257" s="72">
        <f t="shared" ca="1" si="237"/>
        <v>-0.27173595959805397</v>
      </c>
      <c r="DX257" s="37"/>
      <c r="DY257" s="35">
        <f t="shared" si="247"/>
        <v>8.2800966177937779E-2</v>
      </c>
      <c r="DZ257" s="56"/>
      <c r="EA257" s="56"/>
      <c r="EC257" s="2" t="e" vm="259">
        <v>#VALUE!</v>
      </c>
      <c r="EE257" s="10" cm="1">
        <f t="array" aca="1" ref="EE257" ca="1">_FV(EC257,"Ações em circulação",TRUE)</f>
        <v>206917300</v>
      </c>
      <c r="EF257" s="18">
        <f>VLOOKUP(BP257,Fundamentus!A:U,5,FALSE)</f>
        <v>0.17899999999999999</v>
      </c>
      <c r="EG257" s="2">
        <f t="shared" ca="1" si="238"/>
        <v>2889906424.5810056</v>
      </c>
      <c r="EH257" s="17">
        <v>-89298108.51955308</v>
      </c>
      <c r="EI257" s="17">
        <f t="shared" ca="1" si="239"/>
        <v>-89298108.51955308</v>
      </c>
      <c r="EK257" s="16">
        <f t="shared" ca="1" si="226"/>
        <v>0</v>
      </c>
      <c r="EL257" s="32" t="str">
        <f>IF(VLOOKUP(BP257,Fundamentus!A:U,3,FALSE)&lt;15,"Bom",IF(VLOOKUP(BP257,Fundamentus!A:U,3,FALSE)&gt;15,"Ruim","n/a"))</f>
        <v>Bom</v>
      </c>
      <c r="EM257" s="28" t="str">
        <f>IF(VLOOKUP(BP257,Fundamentus!A:U,4,FALSE)&lt;1,"Baixo",IF(VLOOKUP(BP257,Fundamentus!A:U,4,FALSE)&lt;1.5,"Moderado",IF(VLOOKUP(BP257,Fundamentus!A:U,4,FALSE)&gt;1.5,"Alto","n/a")))</f>
        <v>Baixo</v>
      </c>
      <c r="EN257" s="17" t="str">
        <f>IF(VLOOKUP(BP257,Fundamentus!A:U,8,FALSE)&lt;0,"Risco elevado",IF(VLOOKUP(BP257,Fundamentus!A:U,8,FALSE)&lt;1,"Saudável",IF(VLOOKUP(BP257,Fundamentus!A:U,8,FALSE)&lt;3,"Estável",IF(VLOOKUP(BP257,Fundamentus!A:U,8,FALSE)&gt;3,"Alerta","n/a"))))</f>
        <v>Saudável</v>
      </c>
      <c r="EO257" s="28" t="str">
        <f t="shared" si="240"/>
        <v>Ruim</v>
      </c>
      <c r="EP257" s="17" t="str">
        <f>IF(VLOOKUP(BP257,Fundamentus!A:U,12,FALSE)&lt;2,"Subvalorizada",IF(VLOOKUP(BP257,Fundamentus!A:U,12,FALSE)&lt;6,"Muita barata",IF(VLOOKUP(BP257,Fundamentus!A:U,12,FALSE)&lt;6,"Barata",IF(VLOOKUP(BP257,Fundamentus!A:U,12,FALSE)&lt;8,"Atrativa",IF(VLOOKUP(BP257,Fundamentus!A:U,12,FALSE)&gt;8,"Supervalorizada","n/a")))))</f>
        <v>Muita barata</v>
      </c>
      <c r="ER257" s="17" t="str">
        <f>IF(VLOOKUP(BP257,Fundamentus!A:U,17,FALSE)&lt;0.1,"Fraco retorno",IF(VLOOKUP(BP257,Fundamentus!A:U,17,FALSE)&gt;0.1,"Bom retorno","n/a"))</f>
        <v>Fraco retorno</v>
      </c>
      <c r="ES257" s="17" t="str">
        <f>IF(VLOOKUP(BP257,Fundamentus!A:U,16,FALSE)&lt;0.1,"Ineficiente",IF(VLOOKUP(BP257,Fundamentus!A:U,16,FALSE)&gt;0.1,"Eficiente","n/a"))</f>
        <v>Ineficiente</v>
      </c>
      <c r="ET257" s="33" t="str">
        <f>IF(VLOOKUP(BP257,Fundamentus!A:U,16,FALSE)&lt;0.1,"Oper. Ineficiente",IF(VLOOKUP(BP257,Fundamentus!A:U,16,FALSE)&gt;0.1,"Oper.Eficiente","n/a"))</f>
        <v>Oper. Ineficiente</v>
      </c>
      <c r="EU257" s="34">
        <f>VLOOKUP(BP257,Fundamentus!A:U,14,FALSE)</f>
        <v>-3.09E-2</v>
      </c>
      <c r="EV257" s="17" t="str">
        <f>IF(VLOOKUP(BP257,Fundamentus!A:U,21,FALSE)&lt;0,"Negativo",IF(VLOOKUP(BP257,Fundamentus!A:U,21,FALSE)&lt;0.05,"Fraco",IF(VLOOKUP(BP257,Fundamentus!A:U,21,FALSE)&lt;0.1,"Bom",IF(VLOOKUP(BP257,Fundamentus!A:U,21,FALSE)&gt;0.1,"Muito bom","n/a"))))</f>
        <v>Muito bom</v>
      </c>
      <c r="EX257" s="29" t="str">
        <f>IF(VLOOKUP(BP257,Fundamentus!A:U,15,FALSE)&gt;1,"Bom",IF(VLOOKUP(BP257,Fundamentus!A:U,15,FALSE)&lt;1,"Ruim","n/a"))</f>
        <v>Bom</v>
      </c>
      <c r="EY257" s="17" t="str">
        <f>IF(VLOOKUP(BP257,Fundamentus!A:U,20,FALSE)&lt;0.5,"Baixa",IF(VLOOKUP(BP257,Fundamentus!A:U,20,FALSE)&lt;1,"Moderada",IF(VLOOKUP(BP257,Fundamentus!A:U,20,FALSE)&lt;2,"Alerta",IF(VLOOKUP(BP257,Fundamentus!A:U,20,FALSE)&gt;2,"Alta","n/a"))))</f>
        <v>Moderada</v>
      </c>
    </row>
    <row r="258" spans="1:155" s="2" customFormat="1" ht="11.25" x14ac:dyDescent="0.2">
      <c r="A258" s="4">
        <v>2.97</v>
      </c>
      <c r="B258" s="4">
        <v>2.98</v>
      </c>
      <c r="C258" s="4">
        <v>2.87</v>
      </c>
      <c r="D258" s="4">
        <v>2.74</v>
      </c>
      <c r="E258" s="4">
        <v>2.62</v>
      </c>
      <c r="F258" s="4">
        <v>2.4900000000000002</v>
      </c>
      <c r="G258" s="4">
        <v>2.02</v>
      </c>
      <c r="H258" s="4">
        <v>2.2999999999999998</v>
      </c>
      <c r="I258" s="4">
        <v>2.31</v>
      </c>
      <c r="J258" s="4">
        <v>2.38</v>
      </c>
      <c r="K258" s="4">
        <v>2.6</v>
      </c>
      <c r="L258" s="4">
        <v>2.39</v>
      </c>
      <c r="M258" s="4">
        <v>2.2599999999999998</v>
      </c>
      <c r="N258" s="4">
        <v>2.5</v>
      </c>
      <c r="O258" s="4">
        <v>2.56</v>
      </c>
      <c r="P258" s="4">
        <v>2.5</v>
      </c>
      <c r="Q258" s="4">
        <v>2.5</v>
      </c>
      <c r="R258" s="4">
        <v>2.35</v>
      </c>
      <c r="S258" s="4">
        <v>2.19</v>
      </c>
      <c r="T258" s="4">
        <v>2.0699999999999998</v>
      </c>
      <c r="U258" s="4">
        <v>2.0099999999999998</v>
      </c>
      <c r="V258" s="4">
        <v>1.87</v>
      </c>
      <c r="W258" s="4">
        <v>1.73</v>
      </c>
      <c r="X258" s="4">
        <v>1.81</v>
      </c>
      <c r="Y258" s="4">
        <v>1.7</v>
      </c>
      <c r="Z258" s="4">
        <v>1.57</v>
      </c>
      <c r="AA258" s="4">
        <v>1.44</v>
      </c>
      <c r="AB258" s="4">
        <v>1.45</v>
      </c>
      <c r="AC258" s="4">
        <v>1.31</v>
      </c>
      <c r="AD258" s="4">
        <v>1.3</v>
      </c>
      <c r="AE258" s="4">
        <v>1.34</v>
      </c>
      <c r="AF258" s="4">
        <v>1.25</v>
      </c>
      <c r="AG258" s="4">
        <v>1.22</v>
      </c>
      <c r="AH258" s="4">
        <v>1.1599999999999999</v>
      </c>
      <c r="AI258" s="4">
        <v>1.1499999999999999</v>
      </c>
      <c r="AJ258" s="4">
        <v>1.1000000000000001</v>
      </c>
      <c r="AK258" s="4">
        <v>1.07</v>
      </c>
      <c r="AL258" s="4">
        <v>1.0900000000000001</v>
      </c>
      <c r="AM258" s="4">
        <v>1.07</v>
      </c>
      <c r="AN258" s="4">
        <v>1.07</v>
      </c>
      <c r="AO258" s="4">
        <v>1.05</v>
      </c>
      <c r="AP258" s="4">
        <v>1.04</v>
      </c>
      <c r="AQ258" s="4">
        <v>1</v>
      </c>
      <c r="AR258" s="4">
        <v>1.17</v>
      </c>
      <c r="AS258" s="4">
        <v>1.0900000000000001</v>
      </c>
      <c r="AT258" s="4">
        <v>1</v>
      </c>
      <c r="AU258" s="4">
        <v>1</v>
      </c>
      <c r="AV258" s="4">
        <v>1</v>
      </c>
      <c r="AW258" s="4">
        <v>0.98</v>
      </c>
      <c r="AX258" s="4">
        <v>0.96</v>
      </c>
      <c r="AY258" s="12">
        <v>0.99</v>
      </c>
      <c r="AZ258" s="12">
        <v>0.99</v>
      </c>
      <c r="BA258" s="12">
        <v>0.94</v>
      </c>
      <c r="BB258" s="15">
        <v>0.94</v>
      </c>
      <c r="BC258" s="52">
        <v>0.91</v>
      </c>
      <c r="BD258" s="52">
        <v>0.92</v>
      </c>
      <c r="BE258" s="52">
        <v>0.91</v>
      </c>
      <c r="BF258" s="52">
        <v>0.89</v>
      </c>
      <c r="BG258" s="67">
        <v>0.88</v>
      </c>
      <c r="BH258" s="52">
        <v>0.88</v>
      </c>
      <c r="BI258" s="52">
        <v>0.87</v>
      </c>
      <c r="BJ258" s="52">
        <v>0.88</v>
      </c>
      <c r="BK258" s="52">
        <v>0.85</v>
      </c>
      <c r="BL258" s="52">
        <v>0.83</v>
      </c>
      <c r="BM258" s="52">
        <v>0.82</v>
      </c>
      <c r="BN258" s="52">
        <v>0.8</v>
      </c>
      <c r="BO258" s="52" cm="1">
        <f t="array" aca="1" ref="BO258" ca="1">_FV(EC258,"Preço")</f>
        <v>0.8</v>
      </c>
      <c r="BP258" s="69" t="s">
        <v>254</v>
      </c>
      <c r="BQ258" s="36" cm="1">
        <f t="array" aca="1" ref="BQ258" ca="1">_FV(EC258,"Média de volume",TRUE)</f>
        <v>24120</v>
      </c>
      <c r="BR258" s="36">
        <v>24200</v>
      </c>
      <c r="BS258" s="36" cm="1">
        <f t="array" aca="1" ref="BS258" ca="1">_FV(EC258,"Volume")</f>
        <v>24200</v>
      </c>
      <c r="BT258" s="24" cm="1">
        <f t="array" aca="1" ref="BT258" ca="1">_FV(EC258,"Beta")</f>
        <v>1.6732</v>
      </c>
      <c r="BU258" s="71" cm="1">
        <f t="array" aca="1" ref="BU258" ca="1">_FV(EC258,"Variação (%)",TRUE)</f>
        <v>-2.4390000000000002E-2</v>
      </c>
      <c r="BW258" s="17" cm="1">
        <f t="array" aca="1" ref="BW258" ca="1">_FV(EC258,"Baixo")</f>
        <v>0.8</v>
      </c>
      <c r="BX258" s="17" cm="1">
        <f t="array" aca="1" ref="BX258" ca="1">_FV(EC258,"Alto")</f>
        <v>0.83</v>
      </c>
      <c r="BY258" s="24"/>
      <c r="BZ258" s="63" t="e">
        <f ca="1">SQRT(22.5*(BO258/VLOOKUP(BP258,Fundamentus!A:U,3,FALSE))*(BO258/VLOOKUP(BP258,Fundamentus!A:U,4,FALSE)))</f>
        <v>#NUM!</v>
      </c>
      <c r="CB258" s="62">
        <f t="shared" ca="1" si="241"/>
        <v>0</v>
      </c>
      <c r="CC258" s="8"/>
      <c r="CD258" s="61">
        <f t="shared" si="242"/>
        <v>0.8</v>
      </c>
      <c r="CE258" s="61">
        <f t="shared" si="243"/>
        <v>2.98</v>
      </c>
      <c r="CF258" s="61">
        <f t="shared" si="244"/>
        <v>1.5439393939393931</v>
      </c>
      <c r="CG258" s="14"/>
      <c r="CH258" s="35">
        <f t="shared" si="227"/>
        <v>0.73044727321206737</v>
      </c>
      <c r="CI258" s="15">
        <f t="shared" si="245"/>
        <v>0.7850000000000108</v>
      </c>
      <c r="CJ258" s="35">
        <f t="shared" si="228"/>
        <v>0.83955272678795423</v>
      </c>
      <c r="CL258" s="14"/>
      <c r="CM258" s="17">
        <f t="shared" si="229"/>
        <v>-2.1066666666666665</v>
      </c>
      <c r="CN258" s="17">
        <f t="shared" si="230"/>
        <v>-0.6533333333333331</v>
      </c>
      <c r="CO258" s="17">
        <f t="shared" si="231"/>
        <v>7.333333333333325E-2</v>
      </c>
      <c r="CP258" s="38">
        <f t="shared" si="246"/>
        <v>1.5266666666666666</v>
      </c>
      <c r="CQ258" s="17">
        <f t="shared" si="232"/>
        <v>2.253333333333333</v>
      </c>
      <c r="CR258" s="17">
        <f t="shared" si="233"/>
        <v>3.7066666666666661</v>
      </c>
      <c r="CS258" s="17">
        <f t="shared" si="234"/>
        <v>4.4333333333333336</v>
      </c>
      <c r="CT258" s="2" cm="1">
        <f t="array" aca="1" ref="CT258" ca="1">MAX(_xlfn._xlws.FILTER(CM258:CS258,CM258:CS258&lt;BO258))</f>
        <v>7.333333333333325E-2</v>
      </c>
      <c r="CU258" s="2" cm="1">
        <f t="array" aca="1" ref="CU258" ca="1">MIN(_xlfn._xlws.FILTER($CM258:$CS258,$CM258:$CS258&gt;BO258))</f>
        <v>1.5266666666666666</v>
      </c>
      <c r="CV258" s="16">
        <f t="shared" ca="1" si="265"/>
        <v>19.818181818181841</v>
      </c>
      <c r="CW258" s="20">
        <f t="shared" ca="1" si="266"/>
        <v>-9.9090909090909207</v>
      </c>
      <c r="CX258" s="20">
        <f t="shared" ca="1" si="267"/>
        <v>-6.6060606060606135</v>
      </c>
      <c r="CY258" s="20">
        <f t="shared" ca="1" si="268"/>
        <v>-3.9636363636363683</v>
      </c>
      <c r="CZ258" s="20">
        <f t="shared" ca="1" si="269"/>
        <v>-2.2020202020202047</v>
      </c>
      <c r="DA258" s="20">
        <f t="shared" ca="1" si="270"/>
        <v>-1.16577540106952</v>
      </c>
      <c r="DB258" s="20">
        <f t="shared" ca="1" si="271"/>
        <v>-0.60055096418732856</v>
      </c>
      <c r="DC258" s="20">
        <f t="shared" ca="1" si="272"/>
        <v>-0.30489510489510524</v>
      </c>
      <c r="DD258" s="21">
        <f t="shared" ca="1" si="273"/>
        <v>0.30489510489510524</v>
      </c>
      <c r="DE258" s="21">
        <f t="shared" ca="1" si="274"/>
        <v>0.60055096418732856</v>
      </c>
      <c r="DF258" s="21">
        <f t="shared" ca="1" si="275"/>
        <v>1.16577540106952</v>
      </c>
      <c r="DG258" s="21">
        <f t="shared" ca="1" si="276"/>
        <v>2.2020202020202047</v>
      </c>
      <c r="DH258" s="21">
        <f t="shared" ca="1" si="277"/>
        <v>3.9636363636363683</v>
      </c>
      <c r="DI258" s="21">
        <f t="shared" ca="1" si="278"/>
        <v>6.6060606060606135</v>
      </c>
      <c r="DJ258" s="21">
        <f t="shared" ca="1" si="279"/>
        <v>9.9090909090909207</v>
      </c>
      <c r="DL258" s="16" cm="1">
        <f t="array" aca="1" ref="DL258" ca="1">MAX(_xlfn._xlws.FILTER(CW258:DJ258,CW258:DJ258&lt;BU258))</f>
        <v>-0.30489510489510524</v>
      </c>
      <c r="DM258" s="16" cm="1">
        <f t="array" aca="1" ref="DM258" ca="1">MIN(_xlfn._xlws.FILTER(CW258:DJ258,CW258:DJ258&gt;BU258))</f>
        <v>0.30489510489510524</v>
      </c>
      <c r="DN258" s="2" cm="1">
        <f t="array" aca="1" ref="DN258" ca="1">_FV(EC258,"Fechamento anterior",TRUE)</f>
        <v>0.82</v>
      </c>
      <c r="DO258" s="28">
        <f t="shared" ca="1" si="235"/>
        <v>0.46000223763705539</v>
      </c>
      <c r="DP258" s="15">
        <f t="shared" ca="1" si="280"/>
        <v>0.56998601398601367</v>
      </c>
      <c r="DQ258" s="15">
        <f t="shared" ca="1" si="281"/>
        <v>1.0700139860139863</v>
      </c>
      <c r="DR258" s="9"/>
      <c r="DS258" s="9"/>
      <c r="DT258" s="9"/>
      <c r="DU258" s="89">
        <v>0.41442307692307773</v>
      </c>
      <c r="DV258" s="89">
        <f t="shared" ca="1" si="236"/>
        <v>0.60979020979021048</v>
      </c>
      <c r="DW258" s="72">
        <f t="shared" ca="1" si="237"/>
        <v>0.27496334066484024</v>
      </c>
      <c r="DX258" s="37"/>
      <c r="DY258" s="35">
        <f t="shared" si="247"/>
        <v>2.7276363393971704E-2</v>
      </c>
      <c r="DZ258" s="56"/>
      <c r="EA258" s="56"/>
      <c r="EC258" s="2" t="e" vm="260">
        <v>#VALUE!</v>
      </c>
      <c r="EE258" s="10" cm="1">
        <f t="array" aca="1" ref="EE258" ca="1">_FV(EC258,"Ações em circulação",TRUE)</f>
        <v>38366080</v>
      </c>
      <c r="EF258" s="18">
        <f>VLOOKUP(BP258,Fundamentus!A:U,5,FALSE)</f>
        <v>0.28199999999999997</v>
      </c>
      <c r="EG258" s="2">
        <f t="shared" ca="1" si="238"/>
        <v>108839943.26241136</v>
      </c>
      <c r="EH258" s="17">
        <v>-41740118.241134755</v>
      </c>
      <c r="EI258" s="17">
        <f t="shared" ca="1" si="239"/>
        <v>-41740118.241134755</v>
      </c>
      <c r="EK258" s="16">
        <f t="shared" ca="1" si="226"/>
        <v>0</v>
      </c>
      <c r="EL258" s="32" t="str">
        <f>IF(VLOOKUP(BP258,Fundamentus!A:U,3,FALSE)&lt;15,"Bom",IF(VLOOKUP(BP258,Fundamentus!A:U,3,FALSE)&gt;15,"Ruim","n/a"))</f>
        <v>Bom</v>
      </c>
      <c r="EM258" s="28" t="str">
        <f>IF(VLOOKUP(BP258,Fundamentus!A:U,4,FALSE)&lt;1,"Baixo",IF(VLOOKUP(BP258,Fundamentus!A:U,4,FALSE)&lt;1.5,"Moderado",IF(VLOOKUP(BP258,Fundamentus!A:U,4,FALSE)&gt;1.5,"Alto","n/a")))</f>
        <v>Baixo</v>
      </c>
      <c r="EN258" s="17" t="str">
        <f>IF(VLOOKUP(BP258,Fundamentus!A:U,8,FALSE)&lt;0,"Risco elevado",IF(VLOOKUP(BP258,Fundamentus!A:U,8,FALSE)&lt;1,"Saudável",IF(VLOOKUP(BP258,Fundamentus!A:U,8,FALSE)&lt;3,"Estável",IF(VLOOKUP(BP258,Fundamentus!A:U,8,FALSE)&gt;3,"Alerta","n/a"))))</f>
        <v>Saudável</v>
      </c>
      <c r="EO258" s="28" t="str">
        <f t="shared" si="240"/>
        <v>Ruim</v>
      </c>
      <c r="EP258" s="17" t="str">
        <f>IF(VLOOKUP(BP258,Fundamentus!A:U,12,FALSE)&lt;2,"Subvalorizada",IF(VLOOKUP(BP258,Fundamentus!A:U,12,FALSE)&lt;6,"Muita barata",IF(VLOOKUP(BP258,Fundamentus!A:U,12,FALSE)&lt;6,"Barata",IF(VLOOKUP(BP258,Fundamentus!A:U,12,FALSE)&lt;8,"Atrativa",IF(VLOOKUP(BP258,Fundamentus!A:U,12,FALSE)&gt;8,"Supervalorizada","n/a")))))</f>
        <v>Supervalorizada</v>
      </c>
      <c r="ER258" s="17" t="str">
        <f>IF(VLOOKUP(BP258,Fundamentus!A:U,17,FALSE)&lt;0.1,"Fraco retorno",IF(VLOOKUP(BP258,Fundamentus!A:U,17,FALSE)&gt;0.1,"Bom retorno","n/a"))</f>
        <v>Fraco retorno</v>
      </c>
      <c r="ES258" s="17" t="str">
        <f>IF(VLOOKUP(BP258,Fundamentus!A:U,16,FALSE)&lt;0.1,"Ineficiente",IF(VLOOKUP(BP258,Fundamentus!A:U,16,FALSE)&gt;0.1,"Eficiente","n/a"))</f>
        <v>Ineficiente</v>
      </c>
      <c r="ET258" s="33" t="str">
        <f>IF(VLOOKUP(BP258,Fundamentus!A:U,16,FALSE)&lt;0.1,"Oper. Ineficiente",IF(VLOOKUP(BP258,Fundamentus!A:U,16,FALSE)&gt;0.1,"Oper.Eficiente","n/a"))</f>
        <v>Oper. Ineficiente</v>
      </c>
      <c r="EU258" s="34">
        <f>VLOOKUP(BP258,Fundamentus!A:U,14,FALSE)</f>
        <v>-0.38350000000000001</v>
      </c>
      <c r="EV258" s="17" t="str">
        <f>IF(VLOOKUP(BP258,Fundamentus!A:U,21,FALSE)&lt;0,"Negativo",IF(VLOOKUP(BP258,Fundamentus!A:U,21,FALSE)&lt;0.05,"Fraco",IF(VLOOKUP(BP258,Fundamentus!A:U,21,FALSE)&lt;0.1,"Bom",IF(VLOOKUP(BP258,Fundamentus!A:U,21,FALSE)&gt;0.1,"Muito bom","n/a"))))</f>
        <v>Muito bom</v>
      </c>
      <c r="EX258" s="29" t="str">
        <f>IF(VLOOKUP(BP258,Fundamentus!A:U,15,FALSE)&gt;1,"Bom",IF(VLOOKUP(BP258,Fundamentus!A:U,15,FALSE)&lt;1,"Ruim","n/a"))</f>
        <v>Bom</v>
      </c>
      <c r="EY258" s="17" t="str">
        <f>IF(VLOOKUP(BP258,Fundamentus!A:U,20,FALSE)&lt;0.5,"Baixa",IF(VLOOKUP(BP258,Fundamentus!A:U,20,FALSE)&lt;1,"Moderada",IF(VLOOKUP(BP258,Fundamentus!A:U,20,FALSE)&lt;2,"Alerta",IF(VLOOKUP(BP258,Fundamentus!A:U,20,FALSE)&gt;2,"Alta","n/a"))))</f>
        <v>Baixa</v>
      </c>
    </row>
    <row r="259" spans="1:155" s="2" customFormat="1" ht="11.25" x14ac:dyDescent="0.2">
      <c r="A259" s="4">
        <v>4.6900000000000004</v>
      </c>
      <c r="B259" s="4">
        <v>4.0599999999999996</v>
      </c>
      <c r="C259" s="4">
        <v>3.32</v>
      </c>
      <c r="D259" s="4">
        <v>4.22</v>
      </c>
      <c r="E259" s="4">
        <v>3.42</v>
      </c>
      <c r="F259" s="4">
        <v>3.9</v>
      </c>
      <c r="G259" s="4">
        <v>4.22</v>
      </c>
      <c r="H259" s="4">
        <v>2.98</v>
      </c>
      <c r="I259" s="4">
        <v>2.79</v>
      </c>
      <c r="J259" s="4">
        <v>3.18</v>
      </c>
      <c r="K259" s="4">
        <v>3.65</v>
      </c>
      <c r="L259" s="4">
        <v>3.51</v>
      </c>
      <c r="M259" s="4">
        <v>2.92</v>
      </c>
      <c r="N259" s="4">
        <v>2.7</v>
      </c>
      <c r="O259" s="4">
        <v>2.98</v>
      </c>
      <c r="P259" s="4">
        <v>3.22</v>
      </c>
      <c r="Q259" s="4">
        <v>3.3</v>
      </c>
      <c r="R259" s="4">
        <v>2.99</v>
      </c>
      <c r="S259" s="4">
        <v>3.07</v>
      </c>
      <c r="T259" s="4">
        <v>3.01</v>
      </c>
      <c r="U259" s="4">
        <v>2.75</v>
      </c>
      <c r="V259" s="4">
        <v>2.72</v>
      </c>
      <c r="W259" s="4">
        <v>2.99</v>
      </c>
      <c r="X259" s="4">
        <v>2.98</v>
      </c>
      <c r="Y259" s="4">
        <v>2.71</v>
      </c>
      <c r="Z259" s="4">
        <v>2.66</v>
      </c>
      <c r="AA259" s="4">
        <v>2.5299999999999998</v>
      </c>
      <c r="AB259" s="4">
        <v>2.48</v>
      </c>
      <c r="AC259" s="4">
        <v>2.15</v>
      </c>
      <c r="AD259" s="4">
        <v>2.31</v>
      </c>
      <c r="AE259" s="4">
        <v>2.2599999999999998</v>
      </c>
      <c r="AF259" s="4">
        <v>2.1800000000000002</v>
      </c>
      <c r="AG259" s="4">
        <v>2.0099999999999998</v>
      </c>
      <c r="AH259" s="4">
        <v>1.92</v>
      </c>
      <c r="AI259" s="4">
        <v>2.04</v>
      </c>
      <c r="AJ259" s="4">
        <v>1.92</v>
      </c>
      <c r="AK259" s="4">
        <v>1.87</v>
      </c>
      <c r="AL259" s="4">
        <v>1.89</v>
      </c>
      <c r="AM259" s="4">
        <v>1.84</v>
      </c>
      <c r="AN259" s="4">
        <v>1.86</v>
      </c>
      <c r="AO259" s="4">
        <v>1.78</v>
      </c>
      <c r="AP259" s="4">
        <v>1.77</v>
      </c>
      <c r="AQ259" s="4">
        <v>1.77</v>
      </c>
      <c r="AR259" s="4">
        <v>1.67</v>
      </c>
      <c r="AS259" s="4">
        <v>1.72</v>
      </c>
      <c r="AT259" s="4">
        <v>1.9</v>
      </c>
      <c r="AU259" s="4">
        <v>1.92</v>
      </c>
      <c r="AV259" s="4">
        <v>1.95</v>
      </c>
      <c r="AW259" s="4">
        <v>1.82</v>
      </c>
      <c r="AX259" s="4">
        <v>1.76</v>
      </c>
      <c r="AY259" s="12">
        <v>1.8</v>
      </c>
      <c r="AZ259" s="12">
        <v>1.78</v>
      </c>
      <c r="BA259" s="12">
        <v>1.76</v>
      </c>
      <c r="BB259" s="15">
        <v>1.76</v>
      </c>
      <c r="BC259" s="52">
        <v>1.86</v>
      </c>
      <c r="BD259" s="52">
        <v>1.7</v>
      </c>
      <c r="BE259" s="52">
        <v>1.59</v>
      </c>
      <c r="BF259" s="52">
        <v>1.53</v>
      </c>
      <c r="BG259" s="67">
        <v>1.5</v>
      </c>
      <c r="BH259" s="52">
        <v>1.33</v>
      </c>
      <c r="BI259" s="52">
        <v>1.29</v>
      </c>
      <c r="BJ259" s="52">
        <v>1.37</v>
      </c>
      <c r="BK259" s="52">
        <v>1.31</v>
      </c>
      <c r="BL259" s="52">
        <v>1.24</v>
      </c>
      <c r="BM259" s="52">
        <v>1.24</v>
      </c>
      <c r="BN259" s="52">
        <v>1.28</v>
      </c>
      <c r="BO259" s="52" cm="1">
        <f t="array" aca="1" ref="BO259" ca="1">_FV(EC259,"Preço")</f>
        <v>1.28</v>
      </c>
      <c r="BP259" s="69" t="s">
        <v>255</v>
      </c>
      <c r="BQ259" s="36" cm="1">
        <f t="array" aca="1" ref="BQ259" ca="1">_FV(EC259,"Média de volume",TRUE)</f>
        <v>649700</v>
      </c>
      <c r="BR259" s="36">
        <v>1507400</v>
      </c>
      <c r="BS259" s="36" cm="1">
        <f t="array" aca="1" ref="BS259" ca="1">_FV(EC259,"Volume")</f>
        <v>1507400</v>
      </c>
      <c r="BT259" s="24" cm="1">
        <f t="array" aca="1" ref="BT259" ca="1">_FV(EC259,"Beta")</f>
        <v>1.0263</v>
      </c>
      <c r="BU259" s="71" cm="1">
        <f t="array" aca="1" ref="BU259" ca="1">_FV(EC259,"Variação (%)",TRUE)</f>
        <v>3.2258000000000002E-2</v>
      </c>
      <c r="BW259" s="17" cm="1">
        <f t="array" aca="1" ref="BW259" ca="1">_FV(EC259,"Baixo")</f>
        <v>1.23</v>
      </c>
      <c r="BX259" s="17" cm="1">
        <f t="array" aca="1" ref="BX259" ca="1">_FV(EC259,"Alto")</f>
        <v>1.33</v>
      </c>
      <c r="BY259" s="24"/>
      <c r="BZ259" s="63" t="e">
        <f ca="1">SQRT(22.5*(BO259/VLOOKUP(BP259,Fundamentus!A:U,3,FALSE))*(BO259/VLOOKUP(BP259,Fundamentus!A:U,4,FALSE)))</f>
        <v>#NUM!</v>
      </c>
      <c r="CB259" s="62">
        <f t="shared" ca="1" si="241"/>
        <v>0</v>
      </c>
      <c r="CC259" s="8"/>
      <c r="CD259" s="61">
        <f t="shared" si="242"/>
        <v>1.24</v>
      </c>
      <c r="CE259" s="61">
        <f t="shared" si="243"/>
        <v>4.6900000000000004</v>
      </c>
      <c r="CF259" s="61">
        <f t="shared" si="244"/>
        <v>2.3727272727272735</v>
      </c>
      <c r="CG259" s="14"/>
      <c r="CH259" s="35">
        <f t="shared" si="227"/>
        <v>1.1475115391443729</v>
      </c>
      <c r="CI259" s="15">
        <f t="shared" si="245"/>
        <v>1.2450000000000045</v>
      </c>
      <c r="CJ259" s="35">
        <f t="shared" si="228"/>
        <v>1.3424884608556362</v>
      </c>
      <c r="CL259" s="14"/>
      <c r="CM259" s="17">
        <f t="shared" si="229"/>
        <v>-3.333333333333333</v>
      </c>
      <c r="CN259" s="17">
        <f t="shared" si="230"/>
        <v>-1.0466666666666664</v>
      </c>
      <c r="CO259" s="17">
        <f t="shared" si="231"/>
        <v>0.11666666666666714</v>
      </c>
      <c r="CP259" s="38">
        <f t="shared" si="246"/>
        <v>2.4033333333333338</v>
      </c>
      <c r="CQ259" s="17">
        <f t="shared" si="232"/>
        <v>3.5666666666666673</v>
      </c>
      <c r="CR259" s="17">
        <f t="shared" si="233"/>
        <v>5.8533333333333335</v>
      </c>
      <c r="CS259" s="17">
        <f t="shared" si="234"/>
        <v>7.0166666666666675</v>
      </c>
      <c r="CT259" s="2" cm="1">
        <f t="array" aca="1" ref="CT259" ca="1">MAX(_xlfn._xlws.FILTER(CM259:CS259,CM259:CS259&lt;BO259))</f>
        <v>0.11666666666666714</v>
      </c>
      <c r="CU259" s="2" cm="1">
        <f t="array" aca="1" ref="CU259" ca="1">MIN(_xlfn._xlws.FILTER($CM259:$CS259,$CM259:$CS259&gt;BO259))</f>
        <v>2.4033333333333338</v>
      </c>
      <c r="CV259" s="16">
        <f t="shared" ca="1" si="265"/>
        <v>19.59999999999992</v>
      </c>
      <c r="CW259" s="20">
        <f t="shared" ca="1" si="266"/>
        <v>-9.7999999999999599</v>
      </c>
      <c r="CX259" s="20">
        <f t="shared" ca="1" si="267"/>
        <v>-6.5333333333333066</v>
      </c>
      <c r="CY259" s="20">
        <f t="shared" ca="1" si="268"/>
        <v>-3.9199999999999839</v>
      </c>
      <c r="CZ259" s="20">
        <f t="shared" ca="1" si="269"/>
        <v>-2.1777777777777687</v>
      </c>
      <c r="DA259" s="20">
        <f t="shared" ca="1" si="270"/>
        <v>-1.1529411764705835</v>
      </c>
      <c r="DB259" s="20">
        <f t="shared" ca="1" si="271"/>
        <v>-0.59393939393939155</v>
      </c>
      <c r="DC259" s="20">
        <f t="shared" ca="1" si="272"/>
        <v>-0.30153846153846031</v>
      </c>
      <c r="DD259" s="21">
        <f t="shared" ca="1" si="273"/>
        <v>0.30153846153846031</v>
      </c>
      <c r="DE259" s="21">
        <f t="shared" ca="1" si="274"/>
        <v>0.59393939393939155</v>
      </c>
      <c r="DF259" s="21">
        <f t="shared" ca="1" si="275"/>
        <v>1.1529411764705835</v>
      </c>
      <c r="DG259" s="21">
        <f t="shared" ca="1" si="276"/>
        <v>2.1777777777777687</v>
      </c>
      <c r="DH259" s="21">
        <f t="shared" ca="1" si="277"/>
        <v>3.9199999999999839</v>
      </c>
      <c r="DI259" s="21">
        <f t="shared" ca="1" si="278"/>
        <v>6.5333333333333066</v>
      </c>
      <c r="DJ259" s="21">
        <f t="shared" ca="1" si="279"/>
        <v>9.7999999999999599</v>
      </c>
      <c r="DL259" s="16" cm="1">
        <f t="array" aca="1" ref="DL259" ca="1">MAX(_xlfn._xlws.FILTER(CW259:DJ259,CW259:DJ259&lt;BU259))</f>
        <v>-0.30153846153846031</v>
      </c>
      <c r="DM259" s="16" cm="1">
        <f t="array" aca="1" ref="DM259" ca="1">MIN(_xlfn._xlws.FILTER(CW259:DJ259,CW259:DJ259&gt;BU259))</f>
        <v>0.30153846153846031</v>
      </c>
      <c r="DN259" s="2" cm="1">
        <f t="array" aca="1" ref="DN259" ca="1">_FV(EC259,"Fechamento anterior",TRUE)</f>
        <v>1.24</v>
      </c>
      <c r="DO259" s="28">
        <f t="shared" ca="1" si="235"/>
        <v>0.55348913759052032</v>
      </c>
      <c r="DP259" s="15">
        <f t="shared" ca="1" si="280"/>
        <v>0.86609230769230927</v>
      </c>
      <c r="DQ259" s="15">
        <f t="shared" ca="1" si="281"/>
        <v>1.6139076923076907</v>
      </c>
      <c r="DR259" s="9"/>
      <c r="DS259" s="9"/>
      <c r="DT259" s="9"/>
      <c r="DU259" s="89">
        <v>0.78632478632478764</v>
      </c>
      <c r="DV259" s="89">
        <f t="shared" ca="1" si="236"/>
        <v>0.60307692307692062</v>
      </c>
      <c r="DW259" s="72">
        <f t="shared" ca="1" si="237"/>
        <v>0.35901684868967354</v>
      </c>
      <c r="DX259" s="37"/>
      <c r="DY259" s="35">
        <f t="shared" si="247"/>
        <v>4.8744230427815803E-2</v>
      </c>
      <c r="DZ259" s="56"/>
      <c r="EA259" s="56"/>
      <c r="EC259" s="2" t="e" vm="261">
        <v>#VALUE!</v>
      </c>
      <c r="EE259" s="10" cm="1">
        <f t="array" aca="1" ref="EE259" ca="1">_FV(EC259,"Ações em circulação",TRUE)</f>
        <v>1255007000</v>
      </c>
      <c r="EF259" s="18">
        <f>VLOOKUP(BP259,Fundamentus!A:U,5,FALSE)</f>
        <v>9.9000000000000005E-2</v>
      </c>
      <c r="EG259" s="2">
        <f t="shared" ca="1" si="238"/>
        <v>16226353131.313131</v>
      </c>
      <c r="EH259" s="17">
        <v>-1191014319.8383839</v>
      </c>
      <c r="EI259" s="17">
        <f t="shared" ca="1" si="239"/>
        <v>-1191014319.8383839</v>
      </c>
      <c r="EK259" s="16">
        <f t="shared" ref="EK259:EK271" ca="1" si="282">(EI259/EH259)-1</f>
        <v>0</v>
      </c>
      <c r="EL259" s="32" t="str">
        <f>IF(VLOOKUP(BP259,Fundamentus!A:U,3,FALSE)&lt;15,"Bom",IF(VLOOKUP(BP259,Fundamentus!A:U,3,FALSE)&gt;15,"Ruim","n/a"))</f>
        <v>Bom</v>
      </c>
      <c r="EM259" s="28" t="str">
        <f>IF(VLOOKUP(BP259,Fundamentus!A:U,4,FALSE)&lt;1,"Baixo",IF(VLOOKUP(BP259,Fundamentus!A:U,4,FALSE)&lt;1.5,"Moderado",IF(VLOOKUP(BP259,Fundamentus!A:U,4,FALSE)&gt;1.5,"Alto","n/a")))</f>
        <v>Baixo</v>
      </c>
      <c r="EN259" s="17" t="str">
        <f>IF(VLOOKUP(BP259,Fundamentus!A:U,8,FALSE)&lt;0,"Risco elevado",IF(VLOOKUP(BP259,Fundamentus!A:U,8,FALSE)&lt;1,"Saudável",IF(VLOOKUP(BP259,Fundamentus!A:U,8,FALSE)&lt;3,"Estável",IF(VLOOKUP(BP259,Fundamentus!A:U,8,FALSE)&gt;3,"Alerta","n/a"))))</f>
        <v>Saudável</v>
      </c>
      <c r="EO259" s="28" t="str">
        <f t="shared" si="240"/>
        <v>Ruim</v>
      </c>
      <c r="EP259" s="17" t="str">
        <f>IF(VLOOKUP(BP259,Fundamentus!A:U,12,FALSE)&lt;2,"Subvalorizada",IF(VLOOKUP(BP259,Fundamentus!A:U,12,FALSE)&lt;6,"Muita barata",IF(VLOOKUP(BP259,Fundamentus!A:U,12,FALSE)&lt;6,"Barata",IF(VLOOKUP(BP259,Fundamentus!A:U,12,FALSE)&lt;8,"Atrativa",IF(VLOOKUP(BP259,Fundamentus!A:U,12,FALSE)&gt;8,"Supervalorizada","n/a")))))</f>
        <v>Muita barata</v>
      </c>
      <c r="ER259" s="17" t="str">
        <f>IF(VLOOKUP(BP259,Fundamentus!A:U,17,FALSE)&lt;0.1,"Fraco retorno",IF(VLOOKUP(BP259,Fundamentus!A:U,17,FALSE)&gt;0.1,"Bom retorno","n/a"))</f>
        <v>Fraco retorno</v>
      </c>
      <c r="ES259" s="17" t="str">
        <f>IF(VLOOKUP(BP259,Fundamentus!A:U,16,FALSE)&lt;0.1,"Ineficiente",IF(VLOOKUP(BP259,Fundamentus!A:U,16,FALSE)&gt;0.1,"Eficiente","n/a"))</f>
        <v>Ineficiente</v>
      </c>
      <c r="ET259" s="33" t="str">
        <f>IF(VLOOKUP(BP259,Fundamentus!A:U,16,FALSE)&lt;0.1,"Oper. Ineficiente",IF(VLOOKUP(BP259,Fundamentus!A:U,16,FALSE)&gt;0.1,"Oper.Eficiente","n/a"))</f>
        <v>Oper. Ineficiente</v>
      </c>
      <c r="EU259" s="34">
        <f>VLOOKUP(BP259,Fundamentus!A:U,14,FALSE)</f>
        <v>-7.3400000000000007E-2</v>
      </c>
      <c r="EV259" s="17" t="str">
        <f>IF(VLOOKUP(BP259,Fundamentus!A:U,21,FALSE)&lt;0,"Negativo",IF(VLOOKUP(BP259,Fundamentus!A:U,21,FALSE)&lt;0.05,"Fraco",IF(VLOOKUP(BP259,Fundamentus!A:U,21,FALSE)&lt;0.1,"Bom",IF(VLOOKUP(BP259,Fundamentus!A:U,21,FALSE)&gt;0.1,"Muito bom","n/a"))))</f>
        <v>Muito bom</v>
      </c>
      <c r="EX259" s="29" t="str">
        <f>IF(VLOOKUP(BP259,Fundamentus!A:U,15,FALSE)&gt;1,"Bom",IF(VLOOKUP(BP259,Fundamentus!A:U,15,FALSE)&lt;1,"Ruim","n/a"))</f>
        <v>Bom</v>
      </c>
      <c r="EY259" s="17" t="str">
        <f>IF(VLOOKUP(BP259,Fundamentus!A:U,20,FALSE)&lt;0.5,"Baixa",IF(VLOOKUP(BP259,Fundamentus!A:U,20,FALSE)&lt;1,"Moderada",IF(VLOOKUP(BP259,Fundamentus!A:U,20,FALSE)&lt;2,"Alerta",IF(VLOOKUP(BP259,Fundamentus!A:U,20,FALSE)&gt;2,"Alta","n/a"))))</f>
        <v>Alerta</v>
      </c>
    </row>
    <row r="260" spans="1:155" s="2" customFormat="1" ht="11.25" x14ac:dyDescent="0.2">
      <c r="A260" s="4">
        <v>5.7</v>
      </c>
      <c r="B260" s="4">
        <v>5.86</v>
      </c>
      <c r="C260" s="4">
        <v>5.28</v>
      </c>
      <c r="D260" s="4">
        <v>5.28</v>
      </c>
      <c r="E260" s="4">
        <v>5.01</v>
      </c>
      <c r="F260" s="4">
        <v>5.25</v>
      </c>
      <c r="G260" s="4">
        <v>5.19</v>
      </c>
      <c r="H260" s="4">
        <v>5.3</v>
      </c>
      <c r="I260" s="4">
        <v>5.34</v>
      </c>
      <c r="J260" s="4">
        <v>5.38</v>
      </c>
      <c r="K260" s="4">
        <v>5.04</v>
      </c>
      <c r="L260" s="4">
        <v>4.45</v>
      </c>
      <c r="M260" s="4">
        <v>4.0999999999999996</v>
      </c>
      <c r="N260" s="4">
        <v>3.81</v>
      </c>
      <c r="O260" s="4">
        <v>3.63</v>
      </c>
      <c r="P260" s="4">
        <v>3.89</v>
      </c>
      <c r="Q260" s="4">
        <v>4</v>
      </c>
      <c r="R260" s="4">
        <v>3.83</v>
      </c>
      <c r="S260" s="4">
        <v>3.82</v>
      </c>
      <c r="T260" s="4">
        <v>4</v>
      </c>
      <c r="U260" s="4">
        <v>3.17</v>
      </c>
      <c r="V260" s="4">
        <v>3.1</v>
      </c>
      <c r="W260" s="4">
        <v>3.29</v>
      </c>
      <c r="X260" s="4">
        <v>2.97</v>
      </c>
      <c r="Y260" s="4">
        <v>3.03</v>
      </c>
      <c r="Z260" s="4">
        <v>2.87</v>
      </c>
      <c r="AA260" s="4">
        <v>2.91</v>
      </c>
      <c r="AB260" s="4">
        <v>3.26</v>
      </c>
      <c r="AC260" s="4">
        <v>3.2</v>
      </c>
      <c r="AD260" s="4">
        <v>3.14</v>
      </c>
      <c r="AE260" s="4">
        <v>3.04</v>
      </c>
      <c r="AF260" s="4">
        <v>3.13</v>
      </c>
      <c r="AG260" s="4">
        <v>2.4500000000000002</v>
      </c>
      <c r="AH260" s="4">
        <v>2.4500000000000002</v>
      </c>
      <c r="AI260" s="4">
        <v>2.46</v>
      </c>
      <c r="AJ260" s="4">
        <v>2.9</v>
      </c>
      <c r="AK260" s="4">
        <v>2.84</v>
      </c>
      <c r="AL260" s="4">
        <v>2.86</v>
      </c>
      <c r="AM260" s="4">
        <v>2.88</v>
      </c>
      <c r="AN260" s="4">
        <v>2.98</v>
      </c>
      <c r="AO260" s="4">
        <v>2.95</v>
      </c>
      <c r="AP260" s="4">
        <v>3.13</v>
      </c>
      <c r="AQ260" s="4">
        <v>3.07</v>
      </c>
      <c r="AR260" s="4">
        <v>3</v>
      </c>
      <c r="AS260" s="4">
        <v>2.77</v>
      </c>
      <c r="AT260" s="4">
        <v>2.92</v>
      </c>
      <c r="AU260" s="4">
        <v>2.9550000000000001</v>
      </c>
      <c r="AV260" s="4">
        <v>2.93</v>
      </c>
      <c r="AW260" s="4">
        <v>2.87</v>
      </c>
      <c r="AX260" s="4">
        <v>2.42</v>
      </c>
      <c r="AY260" s="12">
        <v>2.1800000000000002</v>
      </c>
      <c r="AZ260" s="12">
        <v>2.19</v>
      </c>
      <c r="BA260" s="12">
        <v>2.0499999999999998</v>
      </c>
      <c r="BB260" s="15">
        <v>2.17</v>
      </c>
      <c r="BC260" s="52">
        <v>1.97</v>
      </c>
      <c r="BD260" s="52">
        <v>1.92</v>
      </c>
      <c r="BE260" s="52">
        <v>1.86</v>
      </c>
      <c r="BF260" s="52">
        <v>1.97</v>
      </c>
      <c r="BG260" s="67">
        <v>2.14</v>
      </c>
      <c r="BH260" s="52">
        <v>2.09</v>
      </c>
      <c r="BI260" s="52">
        <v>2.04</v>
      </c>
      <c r="BJ260" s="52">
        <v>2.06</v>
      </c>
      <c r="BK260" s="52">
        <v>2.06</v>
      </c>
      <c r="BL260" s="52">
        <v>2.06</v>
      </c>
      <c r="BM260" s="52">
        <v>1.99</v>
      </c>
      <c r="BN260" s="52">
        <v>2.06</v>
      </c>
      <c r="BO260" s="52" cm="1">
        <f t="array" aca="1" ref="BO260" ca="1">_FV(EC260,"Preço")</f>
        <v>2.06</v>
      </c>
      <c r="BP260" s="69" t="s">
        <v>256</v>
      </c>
      <c r="BQ260" s="36" cm="1">
        <f t="array" aca="1" ref="BQ260" ca="1">_FV(EC260,"Média de volume",TRUE)</f>
        <v>6790</v>
      </c>
      <c r="BR260" s="36">
        <v>1700</v>
      </c>
      <c r="BS260" s="36" cm="1">
        <f t="array" aca="1" ref="BS260" ca="1">_FV(EC260,"Volume")</f>
        <v>1700</v>
      </c>
      <c r="BT260" s="24" cm="1">
        <f t="array" aca="1" ref="BT260" ca="1">_FV(EC260,"Beta")</f>
        <v>0.74560000000000004</v>
      </c>
      <c r="BU260" s="71" cm="1">
        <f t="array" aca="1" ref="BU260" ca="1">_FV(EC260,"Variação (%)",TRUE)</f>
        <v>-4.8309999999999994E-3</v>
      </c>
      <c r="BW260" s="17" cm="1">
        <f t="array" aca="1" ref="BW260" ca="1">_FV(EC260,"Baixo")</f>
        <v>2.0299999999999998</v>
      </c>
      <c r="BX260" s="17" cm="1">
        <f t="array" aca="1" ref="BX260" ca="1">_FV(EC260,"Alto")</f>
        <v>2.0699999999999998</v>
      </c>
      <c r="BY260" s="24"/>
      <c r="BZ260" s="63" t="e">
        <f ca="1">SQRT(22.5*(BO260/VLOOKUP(BP260,Fundamentus!A:U,3,FALSE))*(BO260/VLOOKUP(BP260,Fundamentus!A:U,4,FALSE)))</f>
        <v>#NUM!</v>
      </c>
      <c r="CB260" s="62">
        <f t="shared" ca="1" si="241"/>
        <v>0</v>
      </c>
      <c r="CC260" s="8"/>
      <c r="CD260" s="61">
        <f t="shared" si="242"/>
        <v>1.86</v>
      </c>
      <c r="CE260" s="61">
        <f t="shared" si="243"/>
        <v>5.86</v>
      </c>
      <c r="CF260" s="61">
        <f t="shared" si="244"/>
        <v>3.2562878787878784</v>
      </c>
      <c r="CG260" s="14"/>
      <c r="CH260" s="35">
        <f t="shared" si="227"/>
        <v>1.9689999999999985</v>
      </c>
      <c r="CI260" s="15">
        <f t="shared" si="245"/>
        <v>2.0249999999999986</v>
      </c>
      <c r="CJ260" s="35">
        <f t="shared" si="228"/>
        <v>2.0809999999999986</v>
      </c>
      <c r="CL260" s="14"/>
      <c r="CM260" s="17">
        <f t="shared" si="229"/>
        <v>-3.34</v>
      </c>
      <c r="CN260" s="17">
        <f t="shared" si="230"/>
        <v>-0.73999999999999977</v>
      </c>
      <c r="CO260" s="17">
        <f t="shared" si="231"/>
        <v>0.66000000000000014</v>
      </c>
      <c r="CP260" s="38">
        <f t="shared" si="246"/>
        <v>3.2600000000000002</v>
      </c>
      <c r="CQ260" s="17">
        <f t="shared" si="232"/>
        <v>4.66</v>
      </c>
      <c r="CR260" s="17">
        <f t="shared" si="233"/>
        <v>7.26</v>
      </c>
      <c r="CS260" s="17">
        <f t="shared" si="234"/>
        <v>8.66</v>
      </c>
      <c r="CT260" s="2" cm="1">
        <f t="array" aca="1" ref="CT260" ca="1">MAX(_xlfn._xlws.FILTER(CM260:CS260,CM260:CS260&lt;BO260))</f>
        <v>0.66000000000000014</v>
      </c>
      <c r="CU260" s="2" cm="1">
        <f t="array" aca="1" ref="CU260" ca="1">MIN(_xlfn._xlws.FILTER($CM260:$CS260,$CM260:$CS260&gt;BO260))</f>
        <v>3.2600000000000002</v>
      </c>
      <c r="CV260" s="16">
        <f t="shared" ca="1" si="265"/>
        <v>3.9393939393939386</v>
      </c>
      <c r="CW260" s="20">
        <f t="shared" ca="1" si="266"/>
        <v>-1.9696969696969693</v>
      </c>
      <c r="CX260" s="20">
        <f t="shared" ca="1" si="267"/>
        <v>-1.3131313131313129</v>
      </c>
      <c r="CY260" s="20">
        <f t="shared" ca="1" si="268"/>
        <v>-0.78787878787878773</v>
      </c>
      <c r="CZ260" s="20">
        <f t="shared" ca="1" si="269"/>
        <v>-0.43771043771043761</v>
      </c>
      <c r="DA260" s="20">
        <f t="shared" ca="1" si="270"/>
        <v>-0.23172905525846699</v>
      </c>
      <c r="DB260" s="20">
        <f t="shared" ca="1" si="271"/>
        <v>-0.11937557392102845</v>
      </c>
      <c r="DC260" s="20">
        <f t="shared" ca="1" si="272"/>
        <v>-6.0606060606060594E-2</v>
      </c>
      <c r="DD260" s="21">
        <f t="shared" ca="1" si="273"/>
        <v>6.0606060606060594E-2</v>
      </c>
      <c r="DE260" s="21">
        <f t="shared" ca="1" si="274"/>
        <v>0.11937557392102845</v>
      </c>
      <c r="DF260" s="21">
        <f t="shared" ca="1" si="275"/>
        <v>0.23172905525846699</v>
      </c>
      <c r="DG260" s="21">
        <f t="shared" ca="1" si="276"/>
        <v>0.43771043771043761</v>
      </c>
      <c r="DH260" s="21">
        <f t="shared" ca="1" si="277"/>
        <v>0.78787878787878773</v>
      </c>
      <c r="DI260" s="21">
        <f t="shared" ca="1" si="278"/>
        <v>1.3131313131313129</v>
      </c>
      <c r="DJ260" s="21">
        <f t="shared" ca="1" si="279"/>
        <v>1.9696969696969693</v>
      </c>
      <c r="DL260" s="16" cm="1">
        <f t="array" aca="1" ref="DL260" ca="1">MAX(_xlfn._xlws.FILTER(CW260:DJ260,CW260:DJ260&lt;BU260))</f>
        <v>-6.0606060606060594E-2</v>
      </c>
      <c r="DM260" s="16" cm="1">
        <f t="array" aca="1" ref="DM260" ca="1">MIN(_xlfn._xlws.FILTER(CW260:DJ260,CW260:DJ260&gt;BU260))</f>
        <v>6.0606060606060594E-2</v>
      </c>
      <c r="DN260" s="2" cm="1">
        <f t="array" aca="1" ref="DN260" ca="1">_FV(EC260,"Fechamento anterior",TRUE)</f>
        <v>2.0699999999999998</v>
      </c>
      <c r="DO260" s="28">
        <f t="shared" ca="1" si="235"/>
        <v>0.46014492753623276</v>
      </c>
      <c r="DP260" s="15">
        <f t="shared" ca="1" si="280"/>
        <v>1.9445454545454544</v>
      </c>
      <c r="DQ260" s="15">
        <f t="shared" ca="1" si="281"/>
        <v>2.1954545454545453</v>
      </c>
      <c r="DR260" s="9"/>
      <c r="DS260" s="9"/>
      <c r="DT260" s="9"/>
      <c r="DU260" s="89">
        <v>0.12121212121212119</v>
      </c>
      <c r="DV260" s="89">
        <f t="shared" ca="1" si="236"/>
        <v>0.12121212121212119</v>
      </c>
      <c r="DW260" s="72">
        <f t="shared" ca="1" si="237"/>
        <v>0.62500000000002576</v>
      </c>
      <c r="DX260" s="37"/>
      <c r="DY260" s="35">
        <f t="shared" si="247"/>
        <v>2.8000000000000025E-2</v>
      </c>
      <c r="DZ260" s="56"/>
      <c r="EA260" s="56"/>
      <c r="EC260" s="2" t="e" vm="262">
        <v>#VALUE!</v>
      </c>
      <c r="EE260" s="10" cm="1">
        <f t="array" aca="1" ref="EE260" ca="1">_FV(EC260,"Ações em circulação",TRUE)</f>
        <v>20272200</v>
      </c>
      <c r="EF260" s="18">
        <f>VLOOKUP(BP260,Fundamentus!A:U,5,FALSE)</f>
        <v>0.47099999999999997</v>
      </c>
      <c r="EG260" s="2">
        <f t="shared" ca="1" si="238"/>
        <v>88663974.522293001</v>
      </c>
      <c r="EH260" s="17">
        <v>291234557.11337584</v>
      </c>
      <c r="EI260" s="17">
        <f t="shared" ca="1" si="239"/>
        <v>291234557.11337584</v>
      </c>
      <c r="EK260" s="16">
        <f t="shared" ca="1" si="282"/>
        <v>0</v>
      </c>
      <c r="EL260" s="32" t="str">
        <f>IF(VLOOKUP(BP260,Fundamentus!A:U,3,FALSE)&lt;15,"Bom",IF(VLOOKUP(BP260,Fundamentus!A:U,3,FALSE)&gt;15,"Ruim","n/a"))</f>
        <v>Bom</v>
      </c>
      <c r="EM260" s="28" t="str">
        <f>IF(VLOOKUP(BP260,Fundamentus!A:U,4,FALSE)&lt;1,"Baixo",IF(VLOOKUP(BP260,Fundamentus!A:U,4,FALSE)&lt;1.5,"Moderado",IF(VLOOKUP(BP260,Fundamentus!A:U,4,FALSE)&gt;1.5,"Alto","n/a")))</f>
        <v>Baixo</v>
      </c>
      <c r="EN260" s="17" t="str">
        <f>IF(VLOOKUP(BP260,Fundamentus!A:U,8,FALSE)&lt;0,"Risco elevado",IF(VLOOKUP(BP260,Fundamentus!A:U,8,FALSE)&lt;1,"Saudável",IF(VLOOKUP(BP260,Fundamentus!A:U,8,FALSE)&lt;3,"Estável",IF(VLOOKUP(BP260,Fundamentus!A:U,8,FALSE)&gt;3,"Alerta","n/a"))))</f>
        <v>Risco elevado</v>
      </c>
      <c r="EO260" s="28" t="str">
        <f t="shared" si="240"/>
        <v>Ruim</v>
      </c>
      <c r="EP260" s="17" t="str">
        <f>IF(VLOOKUP(BP260,Fundamentus!A:U,12,FALSE)&lt;2,"Subvalorizada",IF(VLOOKUP(BP260,Fundamentus!A:U,12,FALSE)&lt;6,"Muita barata",IF(VLOOKUP(BP260,Fundamentus!A:U,12,FALSE)&lt;6,"Barata",IF(VLOOKUP(BP260,Fundamentus!A:U,12,FALSE)&lt;8,"Atrativa",IF(VLOOKUP(BP260,Fundamentus!A:U,12,FALSE)&gt;8,"Supervalorizada","n/a")))))</f>
        <v>Subvalorizada</v>
      </c>
      <c r="ER260" s="17" t="str">
        <f>IF(VLOOKUP(BP260,Fundamentus!A:U,17,FALSE)&lt;0.1,"Fraco retorno",IF(VLOOKUP(BP260,Fundamentus!A:U,17,FALSE)&gt;0.1,"Bom retorno","n/a"))</f>
        <v>Fraco retorno</v>
      </c>
      <c r="ES260" s="17" t="str">
        <f>IF(VLOOKUP(BP260,Fundamentus!A:U,16,FALSE)&lt;0.1,"Ineficiente",IF(VLOOKUP(BP260,Fundamentus!A:U,16,FALSE)&gt;0.1,"Eficiente","n/a"))</f>
        <v>Ineficiente</v>
      </c>
      <c r="ET260" s="33" t="str">
        <f>IF(VLOOKUP(BP260,Fundamentus!A:U,16,FALSE)&lt;0.1,"Oper. Ineficiente",IF(VLOOKUP(BP260,Fundamentus!A:U,16,FALSE)&gt;0.1,"Oper.Eficiente","n/a"))</f>
        <v>Oper. Ineficiente</v>
      </c>
      <c r="EU260" s="34">
        <f>VLOOKUP(BP260,Fundamentus!A:U,14,FALSE)</f>
        <v>3.2847</v>
      </c>
      <c r="EV260" s="17" t="str">
        <f>IF(VLOOKUP(BP260,Fundamentus!A:U,21,FALSE)&lt;0,"Negativo",IF(VLOOKUP(BP260,Fundamentus!A:U,21,FALSE)&lt;0.05,"Fraco",IF(VLOOKUP(BP260,Fundamentus!A:U,21,FALSE)&lt;0.1,"Bom",IF(VLOOKUP(BP260,Fundamentus!A:U,21,FALSE)&gt;0.1,"Muito bom","n/a"))))</f>
        <v>Fraco</v>
      </c>
      <c r="EX260" s="29" t="str">
        <f>IF(VLOOKUP(BP260,Fundamentus!A:U,15,FALSE)&gt;1,"Bom",IF(VLOOKUP(BP260,Fundamentus!A:U,15,FALSE)&lt;1,"Ruim","n/a"))</f>
        <v>Ruim</v>
      </c>
      <c r="EY260" s="17" t="str">
        <f>IF(VLOOKUP(BP260,Fundamentus!A:U,20,FALSE)&lt;0.5,"Baixa",IF(VLOOKUP(BP260,Fundamentus!A:U,20,FALSE)&lt;1,"Moderada",IF(VLOOKUP(BP260,Fundamentus!A:U,20,FALSE)&lt;2,"Alerta",IF(VLOOKUP(BP260,Fundamentus!A:U,20,FALSE)&gt;2,"Alta","n/a"))))</f>
        <v>Baixa</v>
      </c>
    </row>
    <row r="261" spans="1:155" s="2" customFormat="1" ht="11.25" x14ac:dyDescent="0.2">
      <c r="A261" s="4">
        <v>2.44</v>
      </c>
      <c r="B261" s="4">
        <v>2.64</v>
      </c>
      <c r="C261" s="4">
        <v>2.42</v>
      </c>
      <c r="D261" s="4">
        <v>2.27</v>
      </c>
      <c r="E261" s="4">
        <v>2.16</v>
      </c>
      <c r="F261" s="4">
        <v>2.1</v>
      </c>
      <c r="G261" s="4">
        <v>2.02</v>
      </c>
      <c r="H261" s="4">
        <v>2</v>
      </c>
      <c r="I261" s="4">
        <v>1.95</v>
      </c>
      <c r="J261" s="4">
        <v>2.09</v>
      </c>
      <c r="K261" s="4">
        <v>2.31</v>
      </c>
      <c r="L261" s="4">
        <v>2.14</v>
      </c>
      <c r="M261" s="4">
        <v>2.21</v>
      </c>
      <c r="N261" s="4">
        <v>2.0699999999999998</v>
      </c>
      <c r="O261" s="4">
        <v>2.09</v>
      </c>
      <c r="P261" s="4">
        <v>1.98</v>
      </c>
      <c r="Q261" s="4">
        <v>1.99</v>
      </c>
      <c r="R261" s="4">
        <v>1.96</v>
      </c>
      <c r="S261" s="4">
        <v>1.95</v>
      </c>
      <c r="T261" s="4">
        <v>1.93</v>
      </c>
      <c r="U261" s="4">
        <v>1.84</v>
      </c>
      <c r="V261" s="4">
        <v>1.9</v>
      </c>
      <c r="W261" s="4">
        <v>1.76</v>
      </c>
      <c r="X261" s="4">
        <v>1.71</v>
      </c>
      <c r="Y261" s="4">
        <v>1.48</v>
      </c>
      <c r="Z261" s="4">
        <v>1.4</v>
      </c>
      <c r="AA261" s="4">
        <v>1.34</v>
      </c>
      <c r="AB261" s="4">
        <v>1.38</v>
      </c>
      <c r="AC261" s="4">
        <v>1.35</v>
      </c>
      <c r="AD261" s="4">
        <v>1.38</v>
      </c>
      <c r="AE261" s="4">
        <v>1.37</v>
      </c>
      <c r="AF261" s="4">
        <v>1.33</v>
      </c>
      <c r="AG261" s="4">
        <v>1.34</v>
      </c>
      <c r="AH261" s="4">
        <v>1.33</v>
      </c>
      <c r="AI261" s="4">
        <v>1.31</v>
      </c>
      <c r="AJ261" s="4">
        <v>1.26</v>
      </c>
      <c r="AK261" s="4">
        <v>1.43</v>
      </c>
      <c r="AL261" s="4">
        <v>1.48</v>
      </c>
      <c r="AM261" s="4">
        <v>1.46</v>
      </c>
      <c r="AN261" s="4">
        <v>1.54</v>
      </c>
      <c r="AO261" s="4">
        <v>1.49</v>
      </c>
      <c r="AP261" s="4">
        <v>1.5</v>
      </c>
      <c r="AQ261" s="4">
        <v>1.54</v>
      </c>
      <c r="AR261" s="4">
        <v>1.35</v>
      </c>
      <c r="AS261" s="4">
        <v>1.41</v>
      </c>
      <c r="AT261" s="4">
        <v>1.44</v>
      </c>
      <c r="AU261" s="4">
        <v>1.42</v>
      </c>
      <c r="AV261" s="4">
        <v>1.46</v>
      </c>
      <c r="AW261" s="4">
        <v>1.56</v>
      </c>
      <c r="AX261" s="4">
        <v>1.4</v>
      </c>
      <c r="AY261" s="12">
        <v>1.4</v>
      </c>
      <c r="AZ261" s="12">
        <v>1.37</v>
      </c>
      <c r="BA261" s="12">
        <v>1.3</v>
      </c>
      <c r="BB261" s="15">
        <v>1.29</v>
      </c>
      <c r="BC261" s="52">
        <v>1.26</v>
      </c>
      <c r="BD261" s="52">
        <v>1.25</v>
      </c>
      <c r="BE261" s="52">
        <v>1.2</v>
      </c>
      <c r="BF261" s="52">
        <v>1.19</v>
      </c>
      <c r="BG261" s="67">
        <v>1.18</v>
      </c>
      <c r="BH261" s="52">
        <v>1.17</v>
      </c>
      <c r="BI261" s="52">
        <v>1.22</v>
      </c>
      <c r="BJ261" s="52">
        <v>1.61</v>
      </c>
      <c r="BK261" s="52">
        <v>1.94</v>
      </c>
      <c r="BL261" s="52">
        <v>1.8</v>
      </c>
      <c r="BM261" s="52">
        <v>1.7</v>
      </c>
      <c r="BN261" s="52">
        <v>1.7</v>
      </c>
      <c r="BO261" s="52" cm="1">
        <f t="array" aca="1" ref="BO261" ca="1">_FV(EC261,"Preço")</f>
        <v>1.7</v>
      </c>
      <c r="BP261" s="69" t="s">
        <v>257</v>
      </c>
      <c r="BQ261" s="36" cm="1">
        <f t="array" aca="1" ref="BQ261" ca="1">_FV(EC261,"Média de volume",TRUE)</f>
        <v>62390</v>
      </c>
      <c r="BR261" s="36">
        <v>37100</v>
      </c>
      <c r="BS261" s="36" cm="1">
        <f t="array" aca="1" ref="BS261" ca="1">_FV(EC261,"Volume")</f>
        <v>37100</v>
      </c>
      <c r="BT261" s="24" cm="1">
        <f t="array" aca="1" ref="BT261" ca="1">_FV(EC261,"Beta")</f>
        <v>1.6306</v>
      </c>
      <c r="BU261" s="71" cm="1">
        <f t="array" aca="1" ref="BU261" ca="1">_FV(EC261,"Variação (%)",TRUE)</f>
        <v>-2.2989000000000002E-2</v>
      </c>
      <c r="BW261" s="17" cm="1">
        <f t="array" aca="1" ref="BW261" ca="1">_FV(EC261,"Baixo")</f>
        <v>1.66</v>
      </c>
      <c r="BX261" s="17" cm="1">
        <f t="array" aca="1" ref="BX261" ca="1">_FV(EC261,"Alto")</f>
        <v>1.74</v>
      </c>
      <c r="BY261" s="24"/>
      <c r="BZ261" s="63" t="e">
        <f ca="1">SQRT(22.5*(BO261/VLOOKUP(BP261,Fundamentus!A:U,3,FALSE))*(BO261/VLOOKUP(BP261,Fundamentus!A:U,4,FALSE)))</f>
        <v>#NUM!</v>
      </c>
      <c r="CB261" s="62">
        <f t="shared" ca="1" si="241"/>
        <v>0</v>
      </c>
      <c r="CC261" s="8"/>
      <c r="CD261" s="61">
        <f t="shared" si="242"/>
        <v>1.17</v>
      </c>
      <c r="CE261" s="61">
        <f t="shared" si="243"/>
        <v>2.64</v>
      </c>
      <c r="CF261" s="61">
        <f t="shared" si="244"/>
        <v>1.655454545454546</v>
      </c>
      <c r="CG261" s="14"/>
      <c r="CH261" s="35">
        <f t="shared" si="227"/>
        <v>1.3551444908390442</v>
      </c>
      <c r="CI261" s="15">
        <f t="shared" si="245"/>
        <v>1.5799999999999272</v>
      </c>
      <c r="CJ261" s="35">
        <f t="shared" si="228"/>
        <v>1.8048555091608103</v>
      </c>
      <c r="CL261" s="14"/>
      <c r="CM261" s="17">
        <f t="shared" si="229"/>
        <v>-0.43666666666666698</v>
      </c>
      <c r="CN261" s="17">
        <f t="shared" si="230"/>
        <v>0.36666666666666647</v>
      </c>
      <c r="CO261" s="17">
        <f t="shared" si="231"/>
        <v>1.0333333333333332</v>
      </c>
      <c r="CP261" s="38">
        <f t="shared" si="246"/>
        <v>1.8366666666666667</v>
      </c>
      <c r="CQ261" s="17">
        <f t="shared" si="232"/>
        <v>2.5033333333333334</v>
      </c>
      <c r="CR261" s="17">
        <f t="shared" si="233"/>
        <v>3.3066666666666666</v>
      </c>
      <c r="CS261" s="17">
        <f t="shared" si="234"/>
        <v>3.9733333333333336</v>
      </c>
      <c r="CT261" s="2" cm="1">
        <f t="array" aca="1" ref="CT261" ca="1">MAX(_xlfn._xlws.FILTER(CM261:CS261,CM261:CS261&lt;BO261))</f>
        <v>1.0333333333333332</v>
      </c>
      <c r="CU261" s="2" cm="1">
        <f t="array" aca="1" ref="CU261" ca="1">MIN(_xlfn._xlws.FILTER($CM261:$CS261,$CM261:$CS261&gt;BO261))</f>
        <v>1.8366666666666667</v>
      </c>
      <c r="CV261" s="16">
        <f t="shared" ca="1" si="265"/>
        <v>0.77741935483870983</v>
      </c>
      <c r="CW261" s="20">
        <f t="shared" ca="1" si="266"/>
        <v>-0.38870967741935492</v>
      </c>
      <c r="CX261" s="20">
        <f t="shared" ca="1" si="267"/>
        <v>-0.25913978494623663</v>
      </c>
      <c r="CY261" s="20">
        <f t="shared" ca="1" si="268"/>
        <v>-0.15548387096774197</v>
      </c>
      <c r="CZ261" s="20">
        <f t="shared" ca="1" si="269"/>
        <v>-8.6379928315412205E-2</v>
      </c>
      <c r="DA261" s="20">
        <f t="shared" ca="1" si="270"/>
        <v>-4.5730550284629988E-2</v>
      </c>
      <c r="DB261" s="20">
        <f t="shared" ca="1" si="271"/>
        <v>-2.3558162267839692E-2</v>
      </c>
      <c r="DC261" s="20">
        <f t="shared" ca="1" si="272"/>
        <v>-1.1960297766749383E-2</v>
      </c>
      <c r="DD261" s="21">
        <f t="shared" ca="1" si="273"/>
        <v>1.1960297766749383E-2</v>
      </c>
      <c r="DE261" s="21">
        <f t="shared" ca="1" si="274"/>
        <v>2.3558162267839692E-2</v>
      </c>
      <c r="DF261" s="21">
        <f t="shared" ca="1" si="275"/>
        <v>4.5730550284629988E-2</v>
      </c>
      <c r="DG261" s="21">
        <f t="shared" ca="1" si="276"/>
        <v>8.6379928315412205E-2</v>
      </c>
      <c r="DH261" s="21">
        <f t="shared" ca="1" si="277"/>
        <v>0.15548387096774197</v>
      </c>
      <c r="DI261" s="21">
        <f t="shared" ca="1" si="278"/>
        <v>0.25913978494623663</v>
      </c>
      <c r="DJ261" s="21">
        <f t="shared" ca="1" si="279"/>
        <v>0.38870967741935492</v>
      </c>
      <c r="DL261" s="16" cm="1">
        <f t="array" aca="1" ref="DL261" ca="1">MAX(_xlfn._xlws.FILTER(CW261:DJ261,CW261:DJ261&lt;BU261))</f>
        <v>-2.3558162267839692E-2</v>
      </c>
      <c r="DM261" s="16" cm="1">
        <f t="array" aca="1" ref="DM261" ca="1">MIN(_xlfn._xlws.FILTER(CW261:DJ261,CW261:DJ261&gt;BU261))</f>
        <v>-1.1960297766749383E-2</v>
      </c>
      <c r="DN261" s="2" cm="1">
        <f t="array" aca="1" ref="DN261" ca="1">_FV(EC261,"Fechamento anterior",TRUE)</f>
        <v>1.74</v>
      </c>
      <c r="DO261" s="28">
        <f t="shared" ca="1" si="235"/>
        <v>4.911736299899537E-2</v>
      </c>
      <c r="DP261" s="15">
        <f t="shared" ref="DP261:DP271" ca="1" si="283">DN261+(DN261*DL261)</f>
        <v>1.699008797653959</v>
      </c>
      <c r="DQ261" s="15">
        <f t="shared" ref="DQ261:DQ271" ca="1" si="284">DN261+(DN261*DM261)</f>
        <v>1.7191890818858562</v>
      </c>
      <c r="DR261" s="9"/>
      <c r="DS261" s="9"/>
      <c r="DT261" s="9"/>
      <c r="DU261" s="89">
        <v>1.9964349376114084E-2</v>
      </c>
      <c r="DV261" s="89">
        <f t="shared" ca="1" si="236"/>
        <v>1.1597864501090309E-2</v>
      </c>
      <c r="DW261" s="72">
        <f t="shared" ca="1" si="237"/>
        <v>0.5336760502239386</v>
      </c>
      <c r="DX261" s="37"/>
      <c r="DY261" s="35">
        <f t="shared" si="247"/>
        <v>0.11242775458044153</v>
      </c>
      <c r="DZ261" s="56"/>
      <c r="EA261" s="56"/>
      <c r="EC261" s="2" t="e" vm="263">
        <v>#VALUE!</v>
      </c>
      <c r="EE261" s="10" cm="1">
        <f t="array" aca="1" ref="EE261" ca="1">_FV(EC261,"Ações em circulação",TRUE)</f>
        <v>90511120</v>
      </c>
      <c r="EF261" s="18">
        <f>VLOOKUP(BP261,Fundamentus!A:U,5,FALSE)</f>
        <v>0.3</v>
      </c>
      <c r="EG261" s="2">
        <f t="shared" ca="1" si="238"/>
        <v>512896346.66666669</v>
      </c>
      <c r="EH261" s="17">
        <v>-165255202.896</v>
      </c>
      <c r="EI261" s="17">
        <f t="shared" ca="1" si="239"/>
        <v>-165255202.896</v>
      </c>
      <c r="EK261" s="16">
        <f t="shared" ca="1" si="282"/>
        <v>0</v>
      </c>
      <c r="EL261" s="32" t="str">
        <f>IF(VLOOKUP(BP261,Fundamentus!A:U,3,FALSE)&lt;15,"Bom",IF(VLOOKUP(BP261,Fundamentus!A:U,3,FALSE)&gt;15,"Ruim","n/a"))</f>
        <v>Bom</v>
      </c>
      <c r="EM261" s="28" t="str">
        <f>IF(VLOOKUP(BP261,Fundamentus!A:U,4,FALSE)&lt;1,"Baixo",IF(VLOOKUP(BP261,Fundamentus!A:U,4,FALSE)&lt;1.5,"Moderado",IF(VLOOKUP(BP261,Fundamentus!A:U,4,FALSE)&gt;1.5,"Alto","n/a")))</f>
        <v>Baixo</v>
      </c>
      <c r="EN261" s="17" t="str">
        <f>IF(VLOOKUP(BP261,Fundamentus!A:U,8,FALSE)&lt;0,"Risco elevado",IF(VLOOKUP(BP261,Fundamentus!A:U,8,FALSE)&lt;1,"Saudável",IF(VLOOKUP(BP261,Fundamentus!A:U,8,FALSE)&lt;3,"Estável",IF(VLOOKUP(BP261,Fundamentus!A:U,8,FALSE)&gt;3,"Alerta","n/a"))))</f>
        <v>Alerta</v>
      </c>
      <c r="EO261" s="28" t="str">
        <f t="shared" si="240"/>
        <v>Ruim</v>
      </c>
      <c r="EP261" s="17" t="str">
        <f>IF(VLOOKUP(BP261,Fundamentus!A:U,12,FALSE)&lt;2,"Subvalorizada",IF(VLOOKUP(BP261,Fundamentus!A:U,12,FALSE)&lt;6,"Muita barata",IF(VLOOKUP(BP261,Fundamentus!A:U,12,FALSE)&lt;6,"Barata",IF(VLOOKUP(BP261,Fundamentus!A:U,12,FALSE)&lt;8,"Atrativa",IF(VLOOKUP(BP261,Fundamentus!A:U,12,FALSE)&gt;8,"Supervalorizada","n/a")))))</f>
        <v>Subvalorizada</v>
      </c>
      <c r="ER261" s="17" t="str">
        <f>IF(VLOOKUP(BP261,Fundamentus!A:U,17,FALSE)&lt;0.1,"Fraco retorno",IF(VLOOKUP(BP261,Fundamentus!A:U,17,FALSE)&gt;0.1,"Bom retorno","n/a"))</f>
        <v>Fraco retorno</v>
      </c>
      <c r="ES261" s="17" t="str">
        <f>IF(VLOOKUP(BP261,Fundamentus!A:U,16,FALSE)&lt;0.1,"Ineficiente",IF(VLOOKUP(BP261,Fundamentus!A:U,16,FALSE)&gt;0.1,"Eficiente","n/a"))</f>
        <v>Ineficiente</v>
      </c>
      <c r="ET261" s="33" t="str">
        <f>IF(VLOOKUP(BP261,Fundamentus!A:U,16,FALSE)&lt;0.1,"Oper. Ineficiente",IF(VLOOKUP(BP261,Fundamentus!A:U,16,FALSE)&gt;0.1,"Oper.Eficiente","n/a"))</f>
        <v>Oper. Ineficiente</v>
      </c>
      <c r="EU261" s="34">
        <f>VLOOKUP(BP261,Fundamentus!A:U,14,FALSE)</f>
        <v>-0.32219999999999999</v>
      </c>
      <c r="EV261" s="17" t="str">
        <f>IF(VLOOKUP(BP261,Fundamentus!A:U,21,FALSE)&lt;0,"Negativo",IF(VLOOKUP(BP261,Fundamentus!A:U,21,FALSE)&lt;0.05,"Fraco",IF(VLOOKUP(BP261,Fundamentus!A:U,21,FALSE)&lt;0.1,"Bom",IF(VLOOKUP(BP261,Fundamentus!A:U,21,FALSE)&gt;0.1,"Muito bom","n/a"))))</f>
        <v>Muito bom</v>
      </c>
      <c r="EX261" s="29" t="str">
        <f>IF(VLOOKUP(BP261,Fundamentus!A:U,15,FALSE)&gt;1,"Bom",IF(VLOOKUP(BP261,Fundamentus!A:U,15,FALSE)&lt;1,"Ruim","n/a"))</f>
        <v>Bom</v>
      </c>
      <c r="EY261" s="17" t="str">
        <f>IF(VLOOKUP(BP261,Fundamentus!A:U,20,FALSE)&lt;0.5,"Baixa",IF(VLOOKUP(BP261,Fundamentus!A:U,20,FALSE)&lt;1,"Moderada",IF(VLOOKUP(BP261,Fundamentus!A:U,20,FALSE)&lt;2,"Alerta",IF(VLOOKUP(BP261,Fundamentus!A:U,20,FALSE)&gt;2,"Alta","n/a"))))</f>
        <v>Alerta</v>
      </c>
    </row>
    <row r="262" spans="1:155" s="2" customFormat="1" ht="11.25" x14ac:dyDescent="0.2">
      <c r="A262" s="4">
        <v>10.95</v>
      </c>
      <c r="B262" s="4">
        <v>11.08</v>
      </c>
      <c r="C262" s="4">
        <v>10.07</v>
      </c>
      <c r="D262" s="4">
        <v>10.36</v>
      </c>
      <c r="E262" s="4">
        <v>9.5</v>
      </c>
      <c r="F262" s="4">
        <v>9.23</v>
      </c>
      <c r="G262" s="4">
        <v>9.1199999999999992</v>
      </c>
      <c r="H262" s="4">
        <v>7.68</v>
      </c>
      <c r="I262" s="4">
        <v>7.35</v>
      </c>
      <c r="J262" s="4">
        <v>8.2200000000000006</v>
      </c>
      <c r="K262" s="4">
        <v>8.83</v>
      </c>
      <c r="L262" s="4">
        <v>8.3800000000000008</v>
      </c>
      <c r="M262" s="4">
        <v>8.25</v>
      </c>
      <c r="N262" s="4">
        <v>7.95</v>
      </c>
      <c r="O262" s="4">
        <v>7.95</v>
      </c>
      <c r="P262" s="4">
        <v>7.41</v>
      </c>
      <c r="Q262" s="4">
        <v>7.6</v>
      </c>
      <c r="R262" s="4">
        <v>5.39</v>
      </c>
      <c r="S262" s="4">
        <v>4.4400000000000004</v>
      </c>
      <c r="T262" s="4">
        <v>4.95</v>
      </c>
      <c r="U262" s="4">
        <v>5.26</v>
      </c>
      <c r="V262" s="4">
        <v>5.95</v>
      </c>
      <c r="W262" s="4">
        <v>5.88</v>
      </c>
      <c r="X262" s="4">
        <v>5.93</v>
      </c>
      <c r="Y262" s="4">
        <v>5.76</v>
      </c>
      <c r="Z262" s="4">
        <v>5.36</v>
      </c>
      <c r="AA262" s="4">
        <v>5.31</v>
      </c>
      <c r="AB262" s="4">
        <v>5.1100000000000003</v>
      </c>
      <c r="AC262" s="4">
        <v>5.33</v>
      </c>
      <c r="AD262" s="4">
        <v>4.97</v>
      </c>
      <c r="AE262" s="4">
        <v>4.92</v>
      </c>
      <c r="AF262" s="4">
        <v>4.37</v>
      </c>
      <c r="AG262" s="4">
        <v>4.17</v>
      </c>
      <c r="AH262" s="4">
        <v>3.3</v>
      </c>
      <c r="AI262" s="4">
        <v>3.36</v>
      </c>
      <c r="AJ262" s="4">
        <v>3.75</v>
      </c>
      <c r="AK262" s="4">
        <v>4.1399999999999997</v>
      </c>
      <c r="AL262" s="4">
        <v>4.43</v>
      </c>
      <c r="AM262" s="4">
        <v>4.51</v>
      </c>
      <c r="AN262" s="4">
        <v>4.5999999999999996</v>
      </c>
      <c r="AO262" s="4">
        <v>3.78</v>
      </c>
      <c r="AP262" s="4">
        <v>3.84</v>
      </c>
      <c r="AQ262" s="4">
        <v>3.63</v>
      </c>
      <c r="AR262" s="4">
        <v>3.87</v>
      </c>
      <c r="AS262" s="4">
        <v>3.9</v>
      </c>
      <c r="AT262" s="4">
        <v>3.77</v>
      </c>
      <c r="AU262" s="4">
        <v>3.72</v>
      </c>
      <c r="AV262" s="4">
        <v>3.44</v>
      </c>
      <c r="AW262" s="4">
        <v>3.21</v>
      </c>
      <c r="AX262" s="4">
        <v>3</v>
      </c>
      <c r="AY262" s="12">
        <v>3.06</v>
      </c>
      <c r="AZ262" s="12">
        <v>1.95</v>
      </c>
      <c r="BA262" s="12">
        <v>1.47</v>
      </c>
      <c r="BB262" s="15">
        <v>1.43</v>
      </c>
      <c r="BC262" s="52">
        <v>1.1399999999999999</v>
      </c>
      <c r="BD262" s="52">
        <v>1.04</v>
      </c>
      <c r="BE262" s="52">
        <v>0.9</v>
      </c>
      <c r="BF262" s="52">
        <v>0.96</v>
      </c>
      <c r="BG262" s="67">
        <v>0.99</v>
      </c>
      <c r="BH262" s="52">
        <v>0.98</v>
      </c>
      <c r="BI262" s="52">
        <v>0.94</v>
      </c>
      <c r="BJ262" s="52">
        <v>0.93</v>
      </c>
      <c r="BK262" s="52">
        <v>0.8</v>
      </c>
      <c r="BL262" s="52">
        <v>0.63</v>
      </c>
      <c r="BM262" s="52">
        <v>0.73</v>
      </c>
      <c r="BN262" s="52">
        <v>0.67</v>
      </c>
      <c r="BO262" s="52" cm="1">
        <f t="array" aca="1" ref="BO262" ca="1">_FV(EC262,"Preço")</f>
        <v>0.67</v>
      </c>
      <c r="BP262" s="69" t="s">
        <v>258</v>
      </c>
      <c r="BQ262" s="36" cm="1">
        <f t="array" aca="1" ref="BQ262" ca="1">_FV(EC262,"Média de volume",TRUE)</f>
        <v>22830570</v>
      </c>
      <c r="BR262" s="36">
        <v>16277000</v>
      </c>
      <c r="BS262" s="36" cm="1">
        <f t="array" aca="1" ref="BS262" ca="1">_FV(EC262,"Volume")</f>
        <v>16277000</v>
      </c>
      <c r="BT262" s="24" cm="1">
        <f t="array" aca="1" ref="BT262" ca="1">_FV(EC262,"Beta")</f>
        <v>2.1078000000000001</v>
      </c>
      <c r="BU262" s="71" cm="1">
        <f t="array" aca="1" ref="BU262" ca="1">_FV(EC262,"Variação (%)",TRUE)</f>
        <v>0</v>
      </c>
      <c r="BW262" s="17" cm="1">
        <f t="array" aca="1" ref="BW262" ca="1">_FV(EC262,"Baixo")</f>
        <v>0.66</v>
      </c>
      <c r="BX262" s="17" cm="1">
        <f t="array" aca="1" ref="BX262" ca="1">_FV(EC262,"Alto")</f>
        <v>0.7</v>
      </c>
      <c r="BY262" s="24"/>
      <c r="BZ262" s="63" t="e">
        <f ca="1">SQRT(22.5*(BO262/VLOOKUP(BP262,Fundamentus!A:U,3,FALSE))*(BO262/VLOOKUP(BP262,Fundamentus!A:U,4,FALSE)))</f>
        <v>#NUM!</v>
      </c>
      <c r="CB262" s="62">
        <f t="shared" ca="1" si="241"/>
        <v>0</v>
      </c>
      <c r="CC262" s="8"/>
      <c r="CD262" s="61">
        <f t="shared" si="242"/>
        <v>0.63</v>
      </c>
      <c r="CE262" s="61">
        <f t="shared" si="243"/>
        <v>11.08</v>
      </c>
      <c r="CF262" s="61">
        <f t="shared" si="244"/>
        <v>4.7863636363636362</v>
      </c>
      <c r="CG262" s="14"/>
      <c r="CH262" s="35">
        <f t="shared" ref="CH262:CH271" si="285">CI262-DY262*2</f>
        <v>0.42318876328200983</v>
      </c>
      <c r="CI262" s="15">
        <f t="shared" si="245"/>
        <v>0.63499999999999091</v>
      </c>
      <c r="CJ262" s="35">
        <f t="shared" ref="CJ262:CJ271" si="286">CI262+DY262*2</f>
        <v>0.84681123671797198</v>
      </c>
      <c r="CL262" s="14"/>
      <c r="CM262" s="17">
        <f t="shared" ref="CM262:CM271" si="287">CD262-2*(CE262-CP262)</f>
        <v>-13.276666666666666</v>
      </c>
      <c r="CN262" s="17">
        <f t="shared" ref="CN262:CN271" si="288">CP262-(CE262-CD262)</f>
        <v>-6.3233333333333324</v>
      </c>
      <c r="CO262" s="17">
        <f t="shared" ref="CO262:CO271" si="289">2*CP262-CE262</f>
        <v>-2.8266666666666662</v>
      </c>
      <c r="CP262" s="38">
        <f t="shared" si="246"/>
        <v>4.1266666666666669</v>
      </c>
      <c r="CQ262" s="17">
        <f t="shared" ref="CQ262:CQ271" si="290">2*CP262-CD262</f>
        <v>7.623333333333334</v>
      </c>
      <c r="CR262" s="17">
        <f t="shared" ref="CR262:CR271" si="291">CP262+(CE262-CD262)</f>
        <v>14.576666666666666</v>
      </c>
      <c r="CS262" s="17">
        <f t="shared" ref="CS262:CS271" si="292">CE262+2*(CP262-CD262)</f>
        <v>18.073333333333334</v>
      </c>
      <c r="CT262" s="2" cm="1">
        <f t="array" aca="1" ref="CT262" ca="1">MAX(_xlfn._xlws.FILTER(CM262:CS262,CM262:CS262&lt;BO262))</f>
        <v>-2.8266666666666662</v>
      </c>
      <c r="CU262" s="2" cm="1">
        <f t="array" aca="1" ref="CU262" ca="1">MIN(_xlfn._xlws.FILTER($CM262:$CS262,$CM262:$CS262&gt;BO262))</f>
        <v>4.1266666666666669</v>
      </c>
      <c r="CV262" s="16">
        <f t="shared" ref="CV262:CV271" ca="1" si="293">(CU262/CT262)-1</f>
        <v>-2.459905660377359</v>
      </c>
      <c r="CW262" s="20">
        <f t="shared" ref="CW262:CW271" ca="1" si="294">-$CV262/2</f>
        <v>1.2299528301886795</v>
      </c>
      <c r="CX262" s="20">
        <f t="shared" ref="CX262:CX271" ca="1" si="295">-$CV262/3</f>
        <v>0.81996855345911968</v>
      </c>
      <c r="CY262" s="20">
        <f t="shared" ref="CY262:CY271" ca="1" si="296">-$CV262/5</f>
        <v>0.49198113207547178</v>
      </c>
      <c r="CZ262" s="20">
        <f t="shared" ref="CZ262:CZ271" ca="1" si="297">-$CV262/9</f>
        <v>0.27332285115303989</v>
      </c>
      <c r="DA262" s="20">
        <f t="shared" ca="1" si="270"/>
        <v>0.14470033296337406</v>
      </c>
      <c r="DB262" s="20">
        <f t="shared" ca="1" si="271"/>
        <v>7.4542595769010886E-2</v>
      </c>
      <c r="DC262" s="20">
        <f t="shared" ca="1" si="272"/>
        <v>3.7844702467343984E-2</v>
      </c>
      <c r="DD262" s="21">
        <f t="shared" ca="1" si="273"/>
        <v>-3.7844702467343984E-2</v>
      </c>
      <c r="DE262" s="21">
        <f t="shared" ca="1" si="274"/>
        <v>-7.4542595769010886E-2</v>
      </c>
      <c r="DF262" s="21">
        <f t="shared" ca="1" si="275"/>
        <v>-0.14470033296337406</v>
      </c>
      <c r="DG262" s="21">
        <f t="shared" ref="DG262:DG271" ca="1" si="298">-$CV262/9*-1</f>
        <v>-0.27332285115303989</v>
      </c>
      <c r="DH262" s="21">
        <f t="shared" ref="DH262:DH271" ca="1" si="299">-$CV262/5*-1</f>
        <v>-0.49198113207547178</v>
      </c>
      <c r="DI262" s="21">
        <f t="shared" ref="DI262:DI271" ca="1" si="300">-$CV262/3*-1</f>
        <v>-0.81996855345911968</v>
      </c>
      <c r="DJ262" s="21">
        <f t="shared" ref="DJ262:DJ271" ca="1" si="301">-$CV262/2*-1</f>
        <v>-1.2299528301886795</v>
      </c>
      <c r="DL262" s="16" cm="1">
        <f t="array" aca="1" ref="DL262" ca="1">MAX(_xlfn._xlws.FILTER(CW262:DJ262,CW262:DJ262&lt;BU262))</f>
        <v>-3.7844702467343984E-2</v>
      </c>
      <c r="DM262" s="16" cm="1">
        <f t="array" aca="1" ref="DM262" ca="1">MIN(_xlfn._xlws.FILTER(CW262:DJ262,CW262:DJ262&gt;BU262))</f>
        <v>3.7844702467343984E-2</v>
      </c>
      <c r="DN262" s="2" cm="1">
        <f t="array" aca="1" ref="DN262" ca="1">_FV(EC262,"Fechamento anterior",TRUE)</f>
        <v>0.67</v>
      </c>
      <c r="DO262" s="28">
        <f t="shared" ref="DO262:DO271" ca="1" si="302">(BO262-DP262)/(DQ262-DP262)</f>
        <v>0.5</v>
      </c>
      <c r="DP262" s="15">
        <f t="shared" ca="1" si="283"/>
        <v>0.64464404934687958</v>
      </c>
      <c r="DQ262" s="15">
        <f t="shared" ca="1" si="284"/>
        <v>0.6953559506531205</v>
      </c>
      <c r="DR262" s="9"/>
      <c r="DS262" s="9"/>
      <c r="DT262" s="9"/>
      <c r="DU262" s="89">
        <v>7.5125808770668615E-2</v>
      </c>
      <c r="DV262" s="89">
        <f t="shared" ref="DV262:DV271" ca="1" si="303">DM262-DL262</f>
        <v>7.5689404934687968E-2</v>
      </c>
      <c r="DW262" s="72">
        <f t="shared" ref="DW262:DW271" ca="1" si="304">(BO262-CI262)/(CI262-CH262)</f>
        <v>0.16524146944390092</v>
      </c>
      <c r="DX262" s="37"/>
      <c r="DY262" s="35">
        <f t="shared" si="247"/>
        <v>0.10590561835899052</v>
      </c>
      <c r="DZ262" s="56"/>
      <c r="EA262" s="56"/>
      <c r="EC262" s="2" t="e" vm="264">
        <v>#VALUE!</v>
      </c>
      <c r="EE262" s="10" cm="1">
        <f t="array" aca="1" ref="EE262" ca="1">_FV(EC262,"Ações em circulação",TRUE)</f>
        <v>896039700</v>
      </c>
      <c r="EF262" s="18">
        <f>VLOOKUP(BP262,Fundamentus!A:U,5,FALSE)</f>
        <v>3.1E-2</v>
      </c>
      <c r="EG262" s="2">
        <f t="shared" ref="EG262:EG271" ca="1" si="305">(BO262*EE262)/EF262</f>
        <v>19366019322.580647</v>
      </c>
      <c r="EH262" s="17">
        <v>11379472953.948389</v>
      </c>
      <c r="EI262" s="17">
        <f t="shared" ref="EI262:EI271" ca="1" si="306">EG262*EU262</f>
        <v>11379472953.948389</v>
      </c>
      <c r="EK262" s="16">
        <f t="shared" ca="1" si="282"/>
        <v>0</v>
      </c>
      <c r="EL262" s="32" t="str">
        <f>IF(VLOOKUP(BP262,Fundamentus!A:U,3,FALSE)&lt;15,"Bom",IF(VLOOKUP(BP262,Fundamentus!A:U,3,FALSE)&gt;15,"Ruim","n/a"))</f>
        <v>Bom</v>
      </c>
      <c r="EM262" s="28" t="str">
        <f>IF(VLOOKUP(BP262,Fundamentus!A:U,4,FALSE)&lt;1,"Baixo",IF(VLOOKUP(BP262,Fundamentus!A:U,4,FALSE)&lt;1.5,"Moderado",IF(VLOOKUP(BP262,Fundamentus!A:U,4,FALSE)&gt;1.5,"Alto","n/a")))</f>
        <v>Baixo</v>
      </c>
      <c r="EN262" s="17" t="str">
        <f>IF(VLOOKUP(BP262,Fundamentus!A:U,8,FALSE)&lt;0,"Risco elevado",IF(VLOOKUP(BP262,Fundamentus!A:U,8,FALSE)&lt;1,"Saudável",IF(VLOOKUP(BP262,Fundamentus!A:U,8,FALSE)&lt;3,"Estável",IF(VLOOKUP(BP262,Fundamentus!A:U,8,FALSE)&gt;3,"Alerta","n/a"))))</f>
        <v>Risco elevado</v>
      </c>
      <c r="EO262" s="28" t="str">
        <f t="shared" ref="EO262:EO271" si="307">IF(EF262&gt;1,"Bom","Ruim")</f>
        <v>Ruim</v>
      </c>
      <c r="EP262" s="17" t="str">
        <f>IF(VLOOKUP(BP262,Fundamentus!A:U,12,FALSE)&lt;2,"Subvalorizada",IF(VLOOKUP(BP262,Fundamentus!A:U,12,FALSE)&lt;6,"Muita barata",IF(VLOOKUP(BP262,Fundamentus!A:U,12,FALSE)&lt;6,"Barata",IF(VLOOKUP(BP262,Fundamentus!A:U,12,FALSE)&lt;8,"Atrativa",IF(VLOOKUP(BP262,Fundamentus!A:U,12,FALSE)&gt;8,"Supervalorizada","n/a")))))</f>
        <v>Muita barata</v>
      </c>
      <c r="ER262" s="17" t="str">
        <f>IF(VLOOKUP(BP262,Fundamentus!A:U,17,FALSE)&lt;0.1,"Fraco retorno",IF(VLOOKUP(BP262,Fundamentus!A:U,17,FALSE)&gt;0.1,"Bom retorno","n/a"))</f>
        <v>Fraco retorno</v>
      </c>
      <c r="ES262" s="17" t="str">
        <f>IF(VLOOKUP(BP262,Fundamentus!A:U,16,FALSE)&lt;0.1,"Ineficiente",IF(VLOOKUP(BP262,Fundamentus!A:U,16,FALSE)&gt;0.1,"Eficiente","n/a"))</f>
        <v>Eficiente</v>
      </c>
      <c r="ET262" s="33" t="str">
        <f>IF(VLOOKUP(BP262,Fundamentus!A:U,16,FALSE)&lt;0.1,"Oper. Ineficiente",IF(VLOOKUP(BP262,Fundamentus!A:U,16,FALSE)&gt;0.1,"Oper.Eficiente","n/a"))</f>
        <v>Oper.Eficiente</v>
      </c>
      <c r="EU262" s="34">
        <f>VLOOKUP(BP262,Fundamentus!A:U,14,FALSE)</f>
        <v>0.58760000000000001</v>
      </c>
      <c r="EV262" s="17" t="str">
        <f>IF(VLOOKUP(BP262,Fundamentus!A:U,21,FALSE)&lt;0,"Negativo",IF(VLOOKUP(BP262,Fundamentus!A:U,21,FALSE)&lt;0.05,"Fraco",IF(VLOOKUP(BP262,Fundamentus!A:U,21,FALSE)&lt;0.1,"Bom",IF(VLOOKUP(BP262,Fundamentus!A:U,21,FALSE)&gt;0.1,"Muito bom","n/a"))))</f>
        <v>Muito bom</v>
      </c>
      <c r="EX262" s="29" t="str">
        <f>IF(VLOOKUP(BP262,Fundamentus!A:U,15,FALSE)&gt;1,"Bom",IF(VLOOKUP(BP262,Fundamentus!A:U,15,FALSE)&lt;1,"Ruim","n/a"))</f>
        <v>Ruim</v>
      </c>
      <c r="EY262" s="17" t="str">
        <f>IF(VLOOKUP(BP262,Fundamentus!A:U,20,FALSE)&lt;0.5,"Baixa",IF(VLOOKUP(BP262,Fundamentus!A:U,20,FALSE)&lt;1,"Moderada",IF(VLOOKUP(BP262,Fundamentus!A:U,20,FALSE)&lt;2,"Alerta",IF(VLOOKUP(BP262,Fundamentus!A:U,20,FALSE)&gt;2,"Alta","n/a"))))</f>
        <v>Baixa</v>
      </c>
    </row>
    <row r="263" spans="1:155" s="2" customFormat="1" ht="11.25" x14ac:dyDescent="0.2">
      <c r="A263" s="4">
        <v>8.6</v>
      </c>
      <c r="B263" s="4">
        <v>8.83</v>
      </c>
      <c r="C263" s="4">
        <v>8.75</v>
      </c>
      <c r="D263" s="4">
        <v>8.44</v>
      </c>
      <c r="E263" s="4">
        <v>8.2100000000000009</v>
      </c>
      <c r="F263" s="4">
        <v>8</v>
      </c>
      <c r="G263" s="4">
        <v>7.58</v>
      </c>
      <c r="H263" s="4">
        <v>6.92</v>
      </c>
      <c r="I263" s="4">
        <v>6.32</v>
      </c>
      <c r="J263" s="4">
        <v>6.55</v>
      </c>
      <c r="K263" s="4">
        <v>6.54</v>
      </c>
      <c r="L263" s="4">
        <v>6.65</v>
      </c>
      <c r="M263" s="4">
        <v>6.67</v>
      </c>
      <c r="N263" s="4">
        <v>6.58</v>
      </c>
      <c r="O263" s="4">
        <v>6.5</v>
      </c>
      <c r="P263" s="4">
        <v>7.61</v>
      </c>
      <c r="Q263" s="4">
        <v>8.01</v>
      </c>
      <c r="R263" s="4">
        <v>8.81</v>
      </c>
      <c r="S263" s="4">
        <v>8.01</v>
      </c>
      <c r="T263" s="4">
        <v>6.3</v>
      </c>
      <c r="U263" s="4">
        <v>5.4</v>
      </c>
      <c r="V263" s="4">
        <v>5.03</v>
      </c>
      <c r="W263" s="4">
        <v>5.5</v>
      </c>
      <c r="X263" s="4">
        <v>5.68</v>
      </c>
      <c r="Y263" s="4">
        <v>5.62</v>
      </c>
      <c r="Z263" s="4">
        <v>5.48</v>
      </c>
      <c r="AA263" s="4">
        <v>4.95</v>
      </c>
      <c r="AB263" s="4">
        <v>5.29</v>
      </c>
      <c r="AC263" s="4">
        <v>5.09</v>
      </c>
      <c r="AD263" s="4">
        <v>4.53</v>
      </c>
      <c r="AE263" s="4">
        <v>3.92</v>
      </c>
      <c r="AF263" s="4">
        <v>3.53</v>
      </c>
      <c r="AG263" s="4">
        <v>2.85</v>
      </c>
      <c r="AH263" s="4">
        <v>2.86</v>
      </c>
      <c r="AI263" s="4">
        <v>2.96</v>
      </c>
      <c r="AJ263" s="4">
        <v>3.07</v>
      </c>
      <c r="AK263" s="4">
        <v>3.15</v>
      </c>
      <c r="AL263" s="4">
        <v>3.29</v>
      </c>
      <c r="AM263" s="4">
        <v>3.25</v>
      </c>
      <c r="AN263" s="4">
        <v>3.43</v>
      </c>
      <c r="AO263" s="4">
        <v>3.58</v>
      </c>
      <c r="AP263" s="4">
        <v>3.73</v>
      </c>
      <c r="AQ263" s="4">
        <v>3.84</v>
      </c>
      <c r="AR263" s="4">
        <v>3.83</v>
      </c>
      <c r="AS263" s="4">
        <v>3.64</v>
      </c>
      <c r="AT263" s="4">
        <v>3.67</v>
      </c>
      <c r="AU263" s="4">
        <v>3.5049999999999999</v>
      </c>
      <c r="AV263" s="4">
        <v>3.67</v>
      </c>
      <c r="AW263" s="4">
        <v>3.45</v>
      </c>
      <c r="AX263" s="4">
        <v>3.38</v>
      </c>
      <c r="AY263" s="12">
        <v>3.74</v>
      </c>
      <c r="AZ263" s="12">
        <v>3.71</v>
      </c>
      <c r="BA263" s="12">
        <v>3.86</v>
      </c>
      <c r="BB263" s="15">
        <v>5.01</v>
      </c>
      <c r="BC263" s="52">
        <v>4.96</v>
      </c>
      <c r="BD263" s="52">
        <v>6.74</v>
      </c>
      <c r="BE263" s="52">
        <v>7.97</v>
      </c>
      <c r="BF263" s="52">
        <v>7.93</v>
      </c>
      <c r="BG263" s="67">
        <v>7.76</v>
      </c>
      <c r="BH263" s="52">
        <v>7.36</v>
      </c>
      <c r="BI263" s="52">
        <v>7.01</v>
      </c>
      <c r="BJ263" s="52">
        <v>6.62</v>
      </c>
      <c r="BK263" s="52">
        <v>5.16</v>
      </c>
      <c r="BL263" s="52">
        <v>4.9800000000000004</v>
      </c>
      <c r="BM263" s="52">
        <v>5.04</v>
      </c>
      <c r="BN263" s="52">
        <v>5.88</v>
      </c>
      <c r="BO263" s="52" cm="1">
        <f t="array" aca="1" ref="BO263" ca="1">_FV(EC263,"Preço")</f>
        <v>5.88</v>
      </c>
      <c r="BP263" s="69" t="s">
        <v>259</v>
      </c>
      <c r="BQ263" s="36" cm="1">
        <f t="array" aca="1" ref="BQ263" ca="1">_FV(EC263,"Média de volume",TRUE)</f>
        <v>10070</v>
      </c>
      <c r="BR263" s="36">
        <v>16000</v>
      </c>
      <c r="BS263" s="36" cm="1">
        <f t="array" aca="1" ref="BS263" ca="1">_FV(EC263,"Volume")</f>
        <v>16000</v>
      </c>
      <c r="BT263" s="24" cm="1">
        <f t="array" aca="1" ref="BT263" ca="1">_FV(EC263,"Beta")</f>
        <v>1.6533</v>
      </c>
      <c r="BU263" s="71" cm="1">
        <f t="array" aca="1" ref="BU263" ca="1">_FV(EC263,"Variação (%)",TRUE)</f>
        <v>5.9458999999999998E-2</v>
      </c>
      <c r="BW263" s="17" cm="1">
        <f t="array" aca="1" ref="BW263" ca="1">_FV(EC263,"Baixo")</f>
        <v>5.55</v>
      </c>
      <c r="BX263" s="17" cm="1">
        <f t="array" aca="1" ref="BX263" ca="1">_FV(EC263,"Alto")</f>
        <v>5.93</v>
      </c>
      <c r="BY263" s="24"/>
      <c r="BZ263" s="63">
        <f ca="1">SQRT(22.5*(BO263/VLOOKUP(BP263,Fundamentus!A:U,3,FALSE))*(BO263/VLOOKUP(BP263,Fundamentus!A:U,4,FALSE)))</f>
        <v>17.745006224333629</v>
      </c>
      <c r="CB263" s="62">
        <f t="shared" ref="CB263:CB271" ca="1" si="308">(BO263 - BN263) / BN263</f>
        <v>0</v>
      </c>
      <c r="CC263" s="8"/>
      <c r="CD263" s="61">
        <f t="shared" ref="CD263:CD271" si="309">MIN(A263:BN263)</f>
        <v>2.85</v>
      </c>
      <c r="CE263" s="61">
        <f t="shared" ref="CE263:CE271" si="310">MAX(A263:BN263)</f>
        <v>8.83</v>
      </c>
      <c r="CF263" s="61">
        <f t="shared" ref="CF263:CF271" si="311">AVERAGE(A263:BN263)</f>
        <v>5.5270454545454557</v>
      </c>
      <c r="CG263" s="14"/>
      <c r="CH263" s="35">
        <f t="shared" si="285"/>
        <v>4.5582805383130562</v>
      </c>
      <c r="CI263" s="15">
        <f t="shared" ref="CI263:CI271" si="312">FORECAST("08/08/2025", BK263:BN263, $BK$5:$BN$5)</f>
        <v>5.8200000000001637</v>
      </c>
      <c r="CJ263" s="35">
        <f t="shared" si="286"/>
        <v>7.0817194616872712</v>
      </c>
      <c r="CL263" s="14"/>
      <c r="CM263" s="17">
        <f t="shared" si="287"/>
        <v>-3.1033333333333348</v>
      </c>
      <c r="CN263" s="17">
        <f t="shared" si="288"/>
        <v>-0.12666666666666782</v>
      </c>
      <c r="CO263" s="17">
        <f t="shared" si="289"/>
        <v>2.8766666666666652</v>
      </c>
      <c r="CP263" s="38">
        <f t="shared" ref="CP263:CP271" si="313">(CE263+CD263+BN263)/3</f>
        <v>5.8533333333333326</v>
      </c>
      <c r="CQ263" s="17">
        <f t="shared" si="290"/>
        <v>8.8566666666666656</v>
      </c>
      <c r="CR263" s="17">
        <f t="shared" si="291"/>
        <v>11.833333333333332</v>
      </c>
      <c r="CS263" s="17">
        <f t="shared" si="292"/>
        <v>14.836666666666666</v>
      </c>
      <c r="CT263" s="2" cm="1">
        <f t="array" aca="1" ref="CT263" ca="1">MAX(_xlfn._xlws.FILTER(CM263:CS263,CM263:CS263&lt;BO263))</f>
        <v>5.8533333333333326</v>
      </c>
      <c r="CU263" s="2" cm="1">
        <f t="array" aca="1" ref="CU263" ca="1">MIN(_xlfn._xlws.FILTER($CM263:$CS263,$CM263:$CS263&gt;BO263))</f>
        <v>8.8566666666666656</v>
      </c>
      <c r="CV263" s="16">
        <f t="shared" ca="1" si="293"/>
        <v>0.5130979498861048</v>
      </c>
      <c r="CW263" s="20">
        <f t="shared" ca="1" si="294"/>
        <v>-0.2565489749430524</v>
      </c>
      <c r="CX263" s="20">
        <f t="shared" ca="1" si="295"/>
        <v>-0.17103264996203493</v>
      </c>
      <c r="CY263" s="20">
        <f t="shared" ca="1" si="296"/>
        <v>-0.10261958997722095</v>
      </c>
      <c r="CZ263" s="20">
        <f t="shared" ca="1" si="297"/>
        <v>-5.7010883320678309E-2</v>
      </c>
      <c r="DA263" s="20">
        <f t="shared" ca="1" si="270"/>
        <v>-3.0182232346241459E-2</v>
      </c>
      <c r="DB263" s="20">
        <f t="shared" ca="1" si="271"/>
        <v>-1.5548422723821358E-2</v>
      </c>
      <c r="DC263" s="20">
        <f t="shared" ca="1" si="272"/>
        <v>-7.8938146136323818E-3</v>
      </c>
      <c r="DD263" s="21">
        <f t="shared" ca="1" si="273"/>
        <v>7.8938146136323818E-3</v>
      </c>
      <c r="DE263" s="21">
        <f t="shared" ca="1" si="274"/>
        <v>1.5548422723821358E-2</v>
      </c>
      <c r="DF263" s="21">
        <f t="shared" ca="1" si="275"/>
        <v>3.0182232346241459E-2</v>
      </c>
      <c r="DG263" s="21">
        <f t="shared" ca="1" si="298"/>
        <v>5.7010883320678309E-2</v>
      </c>
      <c r="DH263" s="21">
        <f t="shared" ca="1" si="299"/>
        <v>0.10261958997722095</v>
      </c>
      <c r="DI263" s="21">
        <f t="shared" ca="1" si="300"/>
        <v>0.17103264996203493</v>
      </c>
      <c r="DJ263" s="21">
        <f t="shared" ca="1" si="301"/>
        <v>0.2565489749430524</v>
      </c>
      <c r="DL263" s="16" cm="1">
        <f t="array" aca="1" ref="DL263" ca="1">MAX(_xlfn._xlws.FILTER(CW263:DJ263,CW263:DJ263&lt;BU263))</f>
        <v>5.7010883320678309E-2</v>
      </c>
      <c r="DM263" s="16" cm="1">
        <f t="array" aca="1" ref="DM263" ca="1">MIN(_xlfn._xlws.FILTER(CW263:DJ263,CW263:DJ263&gt;BU263))</f>
        <v>0.10261958997722095</v>
      </c>
      <c r="DN263" s="2" cm="1">
        <f t="array" aca="1" ref="DN263" ca="1">_FV(EC263,"Fechamento anterior",TRUE)</f>
        <v>5.55</v>
      </c>
      <c r="DO263" s="28">
        <f t="shared" ca="1" si="302"/>
        <v>5.3686594474608669E-2</v>
      </c>
      <c r="DP263" s="15">
        <f t="shared" ca="1" si="283"/>
        <v>5.8664104024297643</v>
      </c>
      <c r="DQ263" s="15">
        <f t="shared" ca="1" si="284"/>
        <v>6.1195387243735757</v>
      </c>
      <c r="DR263" s="9"/>
      <c r="DS263" s="9"/>
      <c r="DT263" s="9"/>
      <c r="DU263" s="89">
        <v>4.4284266246198876E-2</v>
      </c>
      <c r="DV263" s="89">
        <f t="shared" ca="1" si="303"/>
        <v>4.5608706656542645E-2</v>
      </c>
      <c r="DW263" s="72">
        <f t="shared" ca="1" si="304"/>
        <v>4.755415274296175E-2</v>
      </c>
      <c r="DX263" s="37"/>
      <c r="DY263" s="35">
        <f t="shared" ref="DY263:DY271" si="314">_xlfn.STDEV.P(BJ263:BN263)</f>
        <v>0.63085973084355396</v>
      </c>
      <c r="DZ263" s="56"/>
      <c r="EA263" s="56"/>
      <c r="EC263" s="2" t="e" vm="265">
        <v>#VALUE!</v>
      </c>
      <c r="EE263" s="10" cm="1">
        <f t="array" aca="1" ref="EE263" ca="1">_FV(EC263,"Ações em circulação",TRUE)</f>
        <v>13321980</v>
      </c>
      <c r="EF263" s="18">
        <f>VLOOKUP(BP263,Fundamentus!A:U,5,FALSE)</f>
        <v>0.41</v>
      </c>
      <c r="EG263" s="2">
        <f t="shared" ca="1" si="305"/>
        <v>191056688.78048784</v>
      </c>
      <c r="EH263" s="17">
        <v>-8559339.6573658548</v>
      </c>
      <c r="EI263" s="17">
        <f t="shared" ca="1" si="306"/>
        <v>-8559339.6573658548</v>
      </c>
      <c r="EK263" s="16">
        <f t="shared" ca="1" si="282"/>
        <v>0</v>
      </c>
      <c r="EL263" s="32" t="str">
        <f>IF(VLOOKUP(BP263,Fundamentus!A:U,3,FALSE)&lt;15,"Bom",IF(VLOOKUP(BP263,Fundamentus!A:U,3,FALSE)&gt;15,"Ruim","n/a"))</f>
        <v>Bom</v>
      </c>
      <c r="EM263" s="28" t="str">
        <f>IF(VLOOKUP(BP263,Fundamentus!A:U,4,FALSE)&lt;1,"Baixo",IF(VLOOKUP(BP263,Fundamentus!A:U,4,FALSE)&lt;1.5,"Moderado",IF(VLOOKUP(BP263,Fundamentus!A:U,4,FALSE)&gt;1.5,"Alto","n/a")))</f>
        <v>Baixo</v>
      </c>
      <c r="EN263" s="17" t="str">
        <f>IF(VLOOKUP(BP263,Fundamentus!A:U,8,FALSE)&lt;0,"Risco elevado",IF(VLOOKUP(BP263,Fundamentus!A:U,8,FALSE)&lt;1,"Saudável",IF(VLOOKUP(BP263,Fundamentus!A:U,8,FALSE)&lt;3,"Estável",IF(VLOOKUP(BP263,Fundamentus!A:U,8,FALSE)&gt;3,"Alerta","n/a"))))</f>
        <v>Risco elevado</v>
      </c>
      <c r="EO263" s="28" t="str">
        <f t="shared" si="307"/>
        <v>Ruim</v>
      </c>
      <c r="EP263" s="17" t="str">
        <f>IF(VLOOKUP(BP263,Fundamentus!A:U,12,FALSE)&lt;2,"Subvalorizada",IF(VLOOKUP(BP263,Fundamentus!A:U,12,FALSE)&lt;6,"Muita barata",IF(VLOOKUP(BP263,Fundamentus!A:U,12,FALSE)&lt;6,"Barata",IF(VLOOKUP(BP263,Fundamentus!A:U,12,FALSE)&lt;8,"Atrativa",IF(VLOOKUP(BP263,Fundamentus!A:U,12,FALSE)&gt;8,"Supervalorizada","n/a")))))</f>
        <v>Muita barata</v>
      </c>
      <c r="ER263" s="17" t="str">
        <f>IF(VLOOKUP(BP263,Fundamentus!A:U,17,FALSE)&lt;0.1,"Fraco retorno",IF(VLOOKUP(BP263,Fundamentus!A:U,17,FALSE)&gt;0.1,"Bom retorno","n/a"))</f>
        <v>Fraco retorno</v>
      </c>
      <c r="ES263" s="17" t="str">
        <f>IF(VLOOKUP(BP263,Fundamentus!A:U,16,FALSE)&lt;0.1,"Ineficiente",IF(VLOOKUP(BP263,Fundamentus!A:U,16,FALSE)&gt;0.1,"Eficiente","n/a"))</f>
        <v>Ineficiente</v>
      </c>
      <c r="ET263" s="33" t="str">
        <f>IF(VLOOKUP(BP263,Fundamentus!A:U,16,FALSE)&lt;0.1,"Oper. Ineficiente",IF(VLOOKUP(BP263,Fundamentus!A:U,16,FALSE)&gt;0.1,"Oper.Eficiente","n/a"))</f>
        <v>Oper. Ineficiente</v>
      </c>
      <c r="EU263" s="34">
        <f>VLOOKUP(BP263,Fundamentus!A:U,14,FALSE)</f>
        <v>-4.48E-2</v>
      </c>
      <c r="EV263" s="17" t="str">
        <f>IF(VLOOKUP(BP263,Fundamentus!A:U,21,FALSE)&lt;0,"Negativo",IF(VLOOKUP(BP263,Fundamentus!A:U,21,FALSE)&lt;0.05,"Fraco",IF(VLOOKUP(BP263,Fundamentus!A:U,21,FALSE)&lt;0.1,"Bom",IF(VLOOKUP(BP263,Fundamentus!A:U,21,FALSE)&gt;0.1,"Muito bom","n/a"))))</f>
        <v>Bom</v>
      </c>
      <c r="EX263" s="29" t="str">
        <f>IF(VLOOKUP(BP263,Fundamentus!A:U,15,FALSE)&gt;1,"Bom",IF(VLOOKUP(BP263,Fundamentus!A:U,15,FALSE)&lt;1,"Ruim","n/a"))</f>
        <v>Ruim</v>
      </c>
      <c r="EY263" s="17" t="str">
        <f>IF(VLOOKUP(BP263,Fundamentus!A:U,20,FALSE)&lt;0.5,"Baixa",IF(VLOOKUP(BP263,Fundamentus!A:U,20,FALSE)&lt;1,"Moderada",IF(VLOOKUP(BP263,Fundamentus!A:U,20,FALSE)&lt;2,"Alerta",IF(VLOOKUP(BP263,Fundamentus!A:U,20,FALSE)&gt;2,"Alta","n/a"))))</f>
        <v>Baixa</v>
      </c>
    </row>
    <row r="264" spans="1:155" s="2" customFormat="1" ht="11.25" x14ac:dyDescent="0.2">
      <c r="A264" s="4">
        <v>2.73</v>
      </c>
      <c r="B264" s="4">
        <v>2.7</v>
      </c>
      <c r="C264" s="4">
        <v>2.58</v>
      </c>
      <c r="D264" s="4">
        <v>2.6</v>
      </c>
      <c r="E264" s="4">
        <v>2.52</v>
      </c>
      <c r="F264" s="4">
        <v>2.5099999999999998</v>
      </c>
      <c r="G264" s="4">
        <v>2.46</v>
      </c>
      <c r="H264" s="4">
        <v>2.39</v>
      </c>
      <c r="I264" s="4">
        <v>2.38</v>
      </c>
      <c r="J264" s="4">
        <v>2.42</v>
      </c>
      <c r="K264" s="4">
        <v>2.41</v>
      </c>
      <c r="L264" s="4">
        <v>2.4300000000000002</v>
      </c>
      <c r="M264" s="4">
        <v>2.4</v>
      </c>
      <c r="N264" s="4">
        <v>2.3199999999999998</v>
      </c>
      <c r="O264" s="4">
        <v>2.2400000000000002</v>
      </c>
      <c r="P264" s="4">
        <v>2.06</v>
      </c>
      <c r="Q264" s="4">
        <v>1.95</v>
      </c>
      <c r="R264" s="4">
        <v>1.85</v>
      </c>
      <c r="S264" s="4">
        <v>1.76</v>
      </c>
      <c r="T264" s="4">
        <v>1.76</v>
      </c>
      <c r="U264" s="4">
        <v>1.82</v>
      </c>
      <c r="V264" s="4">
        <v>1.63</v>
      </c>
      <c r="W264" s="4">
        <v>1.38</v>
      </c>
      <c r="X264" s="4">
        <v>1.37</v>
      </c>
      <c r="Y264" s="4">
        <v>1.19</v>
      </c>
      <c r="Z264" s="4">
        <v>1.0900000000000001</v>
      </c>
      <c r="AA264" s="4">
        <v>1.0900000000000001</v>
      </c>
      <c r="AB264" s="4">
        <v>1.05</v>
      </c>
      <c r="AC264" s="4">
        <v>1.08</v>
      </c>
      <c r="AD264" s="4">
        <v>1.01</v>
      </c>
      <c r="AE264" s="4">
        <v>0.99</v>
      </c>
      <c r="AF264" s="4">
        <v>1</v>
      </c>
      <c r="AG264" s="4">
        <v>1</v>
      </c>
      <c r="AH264" s="4">
        <v>0.97</v>
      </c>
      <c r="AI264" s="4">
        <v>1.03</v>
      </c>
      <c r="AJ264" s="4">
        <v>1.1200000000000001</v>
      </c>
      <c r="AK264" s="4">
        <v>1.28</v>
      </c>
      <c r="AL264" s="4">
        <v>1.34</v>
      </c>
      <c r="AM264" s="4">
        <v>1.22</v>
      </c>
      <c r="AN264" s="4">
        <v>1.0900000000000001</v>
      </c>
      <c r="AO264" s="4">
        <v>1.1000000000000001</v>
      </c>
      <c r="AP264" s="4">
        <v>1.19</v>
      </c>
      <c r="AQ264" s="4">
        <v>1.1000000000000001</v>
      </c>
      <c r="AR264" s="4">
        <v>1.07</v>
      </c>
      <c r="AS264" s="4">
        <v>1.04</v>
      </c>
      <c r="AT264" s="4">
        <v>1.07</v>
      </c>
      <c r="AU264" s="4">
        <v>1.05</v>
      </c>
      <c r="AV264" s="4">
        <v>1.04</v>
      </c>
      <c r="AW264" s="4">
        <v>1.5</v>
      </c>
      <c r="AX264" s="4">
        <v>2.0299999999999998</v>
      </c>
      <c r="AY264" s="12">
        <v>2.2000000000000002</v>
      </c>
      <c r="AZ264" s="12">
        <v>2.2000000000000002</v>
      </c>
      <c r="BA264" s="12">
        <v>2.1800000000000002</v>
      </c>
      <c r="BB264" s="15">
        <v>2.12</v>
      </c>
      <c r="BC264" s="52">
        <v>2.16</v>
      </c>
      <c r="BD264" s="52">
        <v>2.11</v>
      </c>
      <c r="BE264" s="52">
        <v>2.2200000000000002</v>
      </c>
      <c r="BF264" s="52">
        <v>2.15</v>
      </c>
      <c r="BG264" s="67">
        <v>1.92</v>
      </c>
      <c r="BH264" s="52">
        <v>1.88</v>
      </c>
      <c r="BI264" s="52">
        <v>1.82</v>
      </c>
      <c r="BJ264" s="52">
        <v>1.7</v>
      </c>
      <c r="BK264" s="52">
        <v>1.67</v>
      </c>
      <c r="BL264" s="52">
        <v>1.64</v>
      </c>
      <c r="BM264" s="52">
        <v>1.71</v>
      </c>
      <c r="BN264" s="52">
        <v>1.63</v>
      </c>
      <c r="BO264" s="52" cm="1">
        <f t="array" aca="1" ref="BO264" ca="1">_FV(EC264,"Preço")</f>
        <v>1.63</v>
      </c>
      <c r="BP264" s="69" t="s">
        <v>260</v>
      </c>
      <c r="BQ264" s="36" cm="1">
        <f t="array" aca="1" ref="BQ264" ca="1">_FV(EC264,"Média de volume",TRUE)</f>
        <v>168170</v>
      </c>
      <c r="BR264" s="36">
        <v>120000</v>
      </c>
      <c r="BS264" s="36" cm="1">
        <f t="array" aca="1" ref="BS264" ca="1">_FV(EC264,"Volume")</f>
        <v>120000</v>
      </c>
      <c r="BT264" s="24" cm="1">
        <f t="array" aca="1" ref="BT264" ca="1">_FV(EC264,"Beta")</f>
        <v>1.2987</v>
      </c>
      <c r="BU264" s="71" cm="1">
        <f t="array" aca="1" ref="BU264" ca="1">_FV(EC264,"Variação (%)",TRUE)</f>
        <v>-1.2121E-2</v>
      </c>
      <c r="BW264" s="17" cm="1">
        <f t="array" aca="1" ref="BW264" ca="1">_FV(EC264,"Baixo")</f>
        <v>1.63</v>
      </c>
      <c r="BX264" s="17" cm="1">
        <f t="array" aca="1" ref="BX264" ca="1">_FV(EC264,"Alto")</f>
        <v>1.68</v>
      </c>
      <c r="BY264" s="24"/>
      <c r="BZ264" s="63">
        <f ca="1">SQRT(22.5*(BO264/VLOOKUP(BP264,Fundamentus!A:U,3,FALSE))*(BO264/VLOOKUP(BP264,Fundamentus!A:U,4,FALSE)))</f>
        <v>206.64021528112229</v>
      </c>
      <c r="CB264" s="62">
        <f t="shared" ca="1" si="308"/>
        <v>0</v>
      </c>
      <c r="CC264" s="8"/>
      <c r="CD264" s="61">
        <f t="shared" si="309"/>
        <v>0.97</v>
      </c>
      <c r="CE264" s="61">
        <f t="shared" si="310"/>
        <v>2.73</v>
      </c>
      <c r="CF264" s="61">
        <f t="shared" si="311"/>
        <v>1.7230303030303029</v>
      </c>
      <c r="CG264" s="14"/>
      <c r="CH264" s="35">
        <f t="shared" si="285"/>
        <v>1.586754446796631</v>
      </c>
      <c r="CI264" s="15">
        <f t="shared" si="312"/>
        <v>1.6499999999999986</v>
      </c>
      <c r="CJ264" s="35">
        <f t="shared" si="286"/>
        <v>1.7132455532033661</v>
      </c>
      <c r="CL264" s="14"/>
      <c r="CM264" s="17">
        <f t="shared" si="287"/>
        <v>-0.93666666666666676</v>
      </c>
      <c r="CN264" s="17">
        <f t="shared" si="288"/>
        <v>1.6666666666666607E-2</v>
      </c>
      <c r="CO264" s="17">
        <f t="shared" si="289"/>
        <v>0.82333333333333325</v>
      </c>
      <c r="CP264" s="38">
        <f t="shared" si="313"/>
        <v>1.7766666666666666</v>
      </c>
      <c r="CQ264" s="17">
        <f t="shared" si="290"/>
        <v>2.583333333333333</v>
      </c>
      <c r="CR264" s="17">
        <f t="shared" si="291"/>
        <v>3.5366666666666666</v>
      </c>
      <c r="CS264" s="17">
        <f t="shared" si="292"/>
        <v>4.3433333333333337</v>
      </c>
      <c r="CT264" s="2" cm="1">
        <f t="array" aca="1" ref="CT264" ca="1">MAX(_xlfn._xlws.FILTER(CM264:CS264,CM264:CS264&lt;BO264))</f>
        <v>0.82333333333333325</v>
      </c>
      <c r="CU264" s="2" cm="1">
        <f t="array" aca="1" ref="CU264" ca="1">MIN(_xlfn._xlws.FILTER($CM264:$CS264,$CM264:$CS264&gt;BO264))</f>
        <v>1.7766666666666666</v>
      </c>
      <c r="CV264" s="16">
        <f t="shared" ca="1" si="293"/>
        <v>1.1578947368421053</v>
      </c>
      <c r="CW264" s="20">
        <f t="shared" ca="1" si="294"/>
        <v>-0.57894736842105265</v>
      </c>
      <c r="CX264" s="20">
        <f t="shared" ca="1" si="295"/>
        <v>-0.38596491228070179</v>
      </c>
      <c r="CY264" s="20">
        <f t="shared" ca="1" si="296"/>
        <v>-0.23157894736842105</v>
      </c>
      <c r="CZ264" s="20">
        <f t="shared" ca="1" si="297"/>
        <v>-0.12865497076023391</v>
      </c>
      <c r="DA264" s="20">
        <f t="shared" ref="DA264:DA271" ca="1" si="315">-$CV264/17</f>
        <v>-6.8111455108359142E-2</v>
      </c>
      <c r="DB264" s="20">
        <f t="shared" ref="DB264:DB271" ca="1" si="316">-$CV264/33</f>
        <v>-3.5087719298245612E-2</v>
      </c>
      <c r="DC264" s="20">
        <f t="shared" ref="DC264:DC271" ca="1" si="317">-$CV264/65</f>
        <v>-1.7813765182186237E-2</v>
      </c>
      <c r="DD264" s="21">
        <f t="shared" ref="DD264:DD271" ca="1" si="318">-$CV264/65*-1</f>
        <v>1.7813765182186237E-2</v>
      </c>
      <c r="DE264" s="21">
        <f t="shared" ref="DE264:DE271" ca="1" si="319">-$CV264/33*-1</f>
        <v>3.5087719298245612E-2</v>
      </c>
      <c r="DF264" s="21">
        <f t="shared" ref="DF264:DF271" ca="1" si="320">-$CV264/17*-1</f>
        <v>6.8111455108359142E-2</v>
      </c>
      <c r="DG264" s="21">
        <f t="shared" ca="1" si="298"/>
        <v>0.12865497076023391</v>
      </c>
      <c r="DH264" s="21">
        <f t="shared" ca="1" si="299"/>
        <v>0.23157894736842105</v>
      </c>
      <c r="DI264" s="21">
        <f t="shared" ca="1" si="300"/>
        <v>0.38596491228070179</v>
      </c>
      <c r="DJ264" s="21">
        <f t="shared" ca="1" si="301"/>
        <v>0.57894736842105265</v>
      </c>
      <c r="DL264" s="16" cm="1">
        <f t="array" aca="1" ref="DL264" ca="1">MAX(_xlfn._xlws.FILTER(CW264:DJ264,CW264:DJ264&lt;BU264))</f>
        <v>-1.7813765182186237E-2</v>
      </c>
      <c r="DM264" s="16" cm="1">
        <f t="array" aca="1" ref="DM264" ca="1">MIN(_xlfn._xlws.FILTER(CW264:DJ264,CW264:DJ264&gt;BU264))</f>
        <v>1.7813765182186237E-2</v>
      </c>
      <c r="DN264" s="2" cm="1">
        <f t="array" aca="1" ref="DN264" ca="1">_FV(EC264,"Fechamento anterior",TRUE)</f>
        <v>1.65</v>
      </c>
      <c r="DO264" s="28">
        <f t="shared" ca="1" si="302"/>
        <v>0.15977961432506835</v>
      </c>
      <c r="DP264" s="15">
        <f t="shared" ca="1" si="283"/>
        <v>1.6206072874493926</v>
      </c>
      <c r="DQ264" s="15">
        <f t="shared" ca="1" si="284"/>
        <v>1.6793927125506072</v>
      </c>
      <c r="DR264" s="9"/>
      <c r="DS264" s="9"/>
      <c r="DT264" s="9"/>
      <c r="DU264" s="89">
        <v>3.2643944763009261E-2</v>
      </c>
      <c r="DV264" s="89">
        <f t="shared" ca="1" si="303"/>
        <v>3.5627530364372474E-2</v>
      </c>
      <c r="DW264" s="72">
        <f t="shared" ca="1" si="304"/>
        <v>-0.31622776601681729</v>
      </c>
      <c r="DX264" s="37"/>
      <c r="DY264" s="35">
        <f t="shared" si="314"/>
        <v>3.1622776601683826E-2</v>
      </c>
      <c r="DZ264" s="56"/>
      <c r="EA264" s="56"/>
      <c r="EC264" s="2" t="e" vm="266">
        <v>#VALUE!</v>
      </c>
      <c r="EE264" s="10" cm="1">
        <f t="array" aca="1" ref="EE264" ca="1">_FV(EC264,"Ações em circulação",TRUE)</f>
        <v>511363900</v>
      </c>
      <c r="EF264" s="18">
        <f>VLOOKUP(BP264,Fundamentus!A:U,5,FALSE)</f>
        <v>0.25600000000000001</v>
      </c>
      <c r="EG264" s="2">
        <f t="shared" ca="1" si="305"/>
        <v>3255949832.03125</v>
      </c>
      <c r="EH264" s="17">
        <v>-12262558257.396093</v>
      </c>
      <c r="EI264" s="17">
        <f t="shared" ca="1" si="306"/>
        <v>-12262558257.396093</v>
      </c>
      <c r="EK264" s="16">
        <f t="shared" ca="1" si="282"/>
        <v>0</v>
      </c>
      <c r="EL264" s="32" t="str">
        <f>IF(VLOOKUP(BP264,Fundamentus!A:U,3,FALSE)&lt;15,"Bom",IF(VLOOKUP(BP264,Fundamentus!A:U,3,FALSE)&gt;15,"Ruim","n/a"))</f>
        <v>Bom</v>
      </c>
      <c r="EM264" s="28" t="str">
        <f>IF(VLOOKUP(BP264,Fundamentus!A:U,4,FALSE)&lt;1,"Baixo",IF(VLOOKUP(BP264,Fundamentus!A:U,4,FALSE)&lt;1.5,"Moderado",IF(VLOOKUP(BP264,Fundamentus!A:U,4,FALSE)&gt;1.5,"Alto","n/a")))</f>
        <v>Baixo</v>
      </c>
      <c r="EN264" s="17" t="str">
        <f>IF(VLOOKUP(BP264,Fundamentus!A:U,8,FALSE)&lt;0,"Risco elevado",IF(VLOOKUP(BP264,Fundamentus!A:U,8,FALSE)&lt;1,"Saudável",IF(VLOOKUP(BP264,Fundamentus!A:U,8,FALSE)&lt;3,"Estável",IF(VLOOKUP(BP264,Fundamentus!A:U,8,FALSE)&gt;3,"Alerta","n/a"))))</f>
        <v>Risco elevado</v>
      </c>
      <c r="EO264" s="28" t="str">
        <f t="shared" si="307"/>
        <v>Ruim</v>
      </c>
      <c r="EP264" s="17" t="str">
        <f>IF(VLOOKUP(BP264,Fundamentus!A:U,12,FALSE)&lt;2,"Subvalorizada",IF(VLOOKUP(BP264,Fundamentus!A:U,12,FALSE)&lt;6,"Muita barata",IF(VLOOKUP(BP264,Fundamentus!A:U,12,FALSE)&lt;6,"Barata",IF(VLOOKUP(BP264,Fundamentus!A:U,12,FALSE)&lt;8,"Atrativa",IF(VLOOKUP(BP264,Fundamentus!A:U,12,FALSE)&gt;8,"Supervalorizada","n/a")))))</f>
        <v>Subvalorizada</v>
      </c>
      <c r="ER264" s="17" t="str">
        <f>IF(VLOOKUP(BP264,Fundamentus!A:U,17,FALSE)&lt;0.1,"Fraco retorno",IF(VLOOKUP(BP264,Fundamentus!A:U,17,FALSE)&gt;0.1,"Bom retorno","n/a"))</f>
        <v>Bom retorno</v>
      </c>
      <c r="ES264" s="17" t="str">
        <f>IF(VLOOKUP(BP264,Fundamentus!A:U,16,FALSE)&lt;0.1,"Ineficiente",IF(VLOOKUP(BP264,Fundamentus!A:U,16,FALSE)&gt;0.1,"Eficiente","n/a"))</f>
        <v>Ineficiente</v>
      </c>
      <c r="ET264" s="33" t="str">
        <f>IF(VLOOKUP(BP264,Fundamentus!A:U,16,FALSE)&lt;0.1,"Oper. Ineficiente",IF(VLOOKUP(BP264,Fundamentus!A:U,16,FALSE)&gt;0.1,"Oper.Eficiente","n/a"))</f>
        <v>Oper. Ineficiente</v>
      </c>
      <c r="EU264" s="34">
        <f>VLOOKUP(BP264,Fundamentus!A:U,14,FALSE)</f>
        <v>-3.7662</v>
      </c>
      <c r="EV264" s="17" t="str">
        <f>IF(VLOOKUP(BP264,Fundamentus!A:U,21,FALSE)&lt;0,"Negativo",IF(VLOOKUP(BP264,Fundamentus!A:U,21,FALSE)&lt;0.05,"Fraco",IF(VLOOKUP(BP264,Fundamentus!A:U,21,FALSE)&lt;0.1,"Bom",IF(VLOOKUP(BP264,Fundamentus!A:U,21,FALSE)&gt;0.1,"Muito bom","n/a"))))</f>
        <v>Negativo</v>
      </c>
      <c r="EX264" s="29" t="str">
        <f>IF(VLOOKUP(BP264,Fundamentus!A:U,15,FALSE)&gt;1,"Bom",IF(VLOOKUP(BP264,Fundamentus!A:U,15,FALSE)&lt;1,"Ruim","n/a"))</f>
        <v>Ruim</v>
      </c>
      <c r="EY264" s="17" t="str">
        <f>IF(VLOOKUP(BP264,Fundamentus!A:U,20,FALSE)&lt;0.5,"Baixa",IF(VLOOKUP(BP264,Fundamentus!A:U,20,FALSE)&lt;1,"Moderada",IF(VLOOKUP(BP264,Fundamentus!A:U,20,FALSE)&lt;2,"Alerta",IF(VLOOKUP(BP264,Fundamentus!A:U,20,FALSE)&gt;2,"Alta","n/a"))))</f>
        <v>Baixa</v>
      </c>
    </row>
    <row r="265" spans="1:155" s="2" customFormat="1" ht="11.25" x14ac:dyDescent="0.2">
      <c r="A265" s="4">
        <v>13.95</v>
      </c>
      <c r="B265" s="4">
        <v>13.34</v>
      </c>
      <c r="C265" s="4">
        <v>13.08</v>
      </c>
      <c r="D265" s="4">
        <v>12.55</v>
      </c>
      <c r="E265" s="4">
        <v>16</v>
      </c>
      <c r="F265" s="4">
        <v>16.45</v>
      </c>
      <c r="G265" s="4">
        <v>17.3</v>
      </c>
      <c r="H265" s="4">
        <v>17.05</v>
      </c>
      <c r="I265" s="4">
        <v>17.100000000000001</v>
      </c>
      <c r="J265" s="4">
        <v>14.6</v>
      </c>
      <c r="K265" s="4">
        <v>14.17</v>
      </c>
      <c r="L265" s="4">
        <v>13.8</v>
      </c>
      <c r="M265" s="4">
        <v>13.77</v>
      </c>
      <c r="N265" s="4">
        <v>13.76</v>
      </c>
      <c r="O265" s="4">
        <v>13.82</v>
      </c>
      <c r="P265" s="4">
        <v>13.25</v>
      </c>
      <c r="Q265" s="4">
        <v>13.26</v>
      </c>
      <c r="R265" s="4">
        <v>13</v>
      </c>
      <c r="S265" s="4">
        <v>13</v>
      </c>
      <c r="T265" s="4">
        <v>13.22</v>
      </c>
      <c r="U265" s="4">
        <v>13.38</v>
      </c>
      <c r="V265" s="4">
        <v>12.41</v>
      </c>
      <c r="W265" s="4">
        <v>11.32</v>
      </c>
      <c r="X265" s="4">
        <v>10.1</v>
      </c>
      <c r="Y265" s="4">
        <v>9.8000000000000007</v>
      </c>
      <c r="Z265" s="4">
        <v>9.6999999999999993</v>
      </c>
      <c r="AA265" s="4">
        <v>10.08</v>
      </c>
      <c r="AB265" s="4">
        <v>10.01</v>
      </c>
      <c r="AC265" s="4">
        <v>9.5</v>
      </c>
      <c r="AD265" s="4">
        <v>8.42</v>
      </c>
      <c r="AE265" s="4">
        <v>7.82</v>
      </c>
      <c r="AF265" s="4">
        <v>7.61</v>
      </c>
      <c r="AG265" s="4">
        <v>6.7</v>
      </c>
      <c r="AH265" s="4">
        <v>8.1</v>
      </c>
      <c r="AI265" s="4">
        <v>8.4</v>
      </c>
      <c r="AJ265" s="4">
        <v>6.21</v>
      </c>
      <c r="AK265" s="4">
        <v>6.86</v>
      </c>
      <c r="AL265" s="4">
        <v>6.8</v>
      </c>
      <c r="AM265" s="4">
        <v>6.53</v>
      </c>
      <c r="AN265" s="4">
        <v>6.35</v>
      </c>
      <c r="AO265" s="4">
        <v>6.35</v>
      </c>
      <c r="AP265" s="4">
        <v>5.82</v>
      </c>
      <c r="AQ265" s="4">
        <v>5.53</v>
      </c>
      <c r="AR265" s="4">
        <v>6.9</v>
      </c>
      <c r="AS265" s="4">
        <v>6.75</v>
      </c>
      <c r="AT265" s="4">
        <v>6.79</v>
      </c>
      <c r="AU265" s="4">
        <v>7.0449999999999999</v>
      </c>
      <c r="AV265" s="4">
        <v>6.92</v>
      </c>
      <c r="AW265" s="4">
        <v>6.92</v>
      </c>
      <c r="AX265" s="4">
        <v>6.8</v>
      </c>
      <c r="AY265" s="12">
        <v>6.61</v>
      </c>
      <c r="AZ265" s="12">
        <v>6.72</v>
      </c>
      <c r="BA265" s="12">
        <v>6.57</v>
      </c>
      <c r="BB265" s="15">
        <v>6.37</v>
      </c>
      <c r="BC265" s="52">
        <v>6.19</v>
      </c>
      <c r="BD265" s="52">
        <v>6.04</v>
      </c>
      <c r="BE265" s="52">
        <v>6.01</v>
      </c>
      <c r="BF265" s="52">
        <v>5.99</v>
      </c>
      <c r="BG265" s="67">
        <v>6.01</v>
      </c>
      <c r="BH265" s="52">
        <v>5.91</v>
      </c>
      <c r="BI265" s="52">
        <v>6.07</v>
      </c>
      <c r="BJ265" s="52">
        <v>6.07</v>
      </c>
      <c r="BK265" s="52">
        <v>6.07</v>
      </c>
      <c r="BL265" s="52">
        <v>6.03</v>
      </c>
      <c r="BM265" s="52">
        <v>5.98</v>
      </c>
      <c r="BN265" s="52">
        <v>5.7</v>
      </c>
      <c r="BO265" s="52" cm="1">
        <f t="array" aca="1" ref="BO265" ca="1">_FV(EC265,"Preço")</f>
        <v>5.7</v>
      </c>
      <c r="BP265" s="69" t="s">
        <v>261</v>
      </c>
      <c r="BQ265" s="36" cm="1">
        <f t="array" aca="1" ref="BQ265" ca="1">_FV(EC265,"Média de volume",TRUE)</f>
        <v>8320</v>
      </c>
      <c r="BR265" s="36">
        <v>10300</v>
      </c>
      <c r="BS265" s="36" cm="1">
        <f t="array" aca="1" ref="BS265" ca="1">_FV(EC265,"Volume")</f>
        <v>10300</v>
      </c>
      <c r="BT265" s="24" cm="1">
        <f t="array" aca="1" ref="BT265" ca="1">_FV(EC265,"Beta")</f>
        <v>1.4686999999999999</v>
      </c>
      <c r="BU265" s="71" cm="1">
        <f t="array" aca="1" ref="BU265" ca="1">_FV(EC265,"Variação (%)",TRUE)</f>
        <v>3.5210000000000003E-3</v>
      </c>
      <c r="BW265" s="17" cm="1">
        <f t="array" aca="1" ref="BW265" ca="1">_FV(EC265,"Baixo")</f>
        <v>5.57</v>
      </c>
      <c r="BX265" s="17" cm="1">
        <f t="array" aca="1" ref="BX265" ca="1">_FV(EC265,"Alto")</f>
        <v>5.74</v>
      </c>
      <c r="BY265" s="24"/>
      <c r="BZ265" s="63" t="e">
        <f ca="1">SQRT(22.5*(BO265/VLOOKUP(BP265,Fundamentus!A:U,3,FALSE))*(BO265/VLOOKUP(BP265,Fundamentus!A:U,4,FALSE)))</f>
        <v>#NUM!</v>
      </c>
      <c r="CB265" s="62">
        <f t="shared" ca="1" si="308"/>
        <v>0</v>
      </c>
      <c r="CC265" s="8"/>
      <c r="CD265" s="61">
        <f t="shared" si="309"/>
        <v>5.53</v>
      </c>
      <c r="CE265" s="61">
        <f t="shared" si="310"/>
        <v>17.3</v>
      </c>
      <c r="CF265" s="61">
        <f t="shared" si="311"/>
        <v>9.4959848484848521</v>
      </c>
      <c r="CG265" s="14"/>
      <c r="CH265" s="35">
        <f t="shared" si="285"/>
        <v>5.3770071943376676</v>
      </c>
      <c r="CI265" s="15">
        <f t="shared" si="312"/>
        <v>5.6549999999999727</v>
      </c>
      <c r="CJ265" s="35">
        <f t="shared" si="286"/>
        <v>5.9329928056622778</v>
      </c>
      <c r="CL265" s="14"/>
      <c r="CM265" s="17">
        <f t="shared" si="287"/>
        <v>-10.050000000000001</v>
      </c>
      <c r="CN265" s="17">
        <f t="shared" si="288"/>
        <v>-2.2599999999999998</v>
      </c>
      <c r="CO265" s="17">
        <f t="shared" si="289"/>
        <v>1.7199999999999989</v>
      </c>
      <c r="CP265" s="38">
        <f t="shared" si="313"/>
        <v>9.51</v>
      </c>
      <c r="CQ265" s="17">
        <f t="shared" si="290"/>
        <v>13.489999999999998</v>
      </c>
      <c r="CR265" s="17">
        <f t="shared" si="291"/>
        <v>21.28</v>
      </c>
      <c r="CS265" s="17">
        <f t="shared" si="292"/>
        <v>25.259999999999998</v>
      </c>
      <c r="CT265" s="2" cm="1">
        <f t="array" aca="1" ref="CT265" ca="1">MAX(_xlfn._xlws.FILTER(CM265:CS265,CM265:CS265&lt;BO265))</f>
        <v>1.7199999999999989</v>
      </c>
      <c r="CU265" s="2" cm="1">
        <f t="array" aca="1" ref="CU265" ca="1">MIN(_xlfn._xlws.FILTER($CM265:$CS265,$CM265:$CS265&gt;BO265))</f>
        <v>9.51</v>
      </c>
      <c r="CV265" s="16">
        <f t="shared" ca="1" si="293"/>
        <v>4.5290697674418636</v>
      </c>
      <c r="CW265" s="20">
        <f t="shared" ca="1" si="294"/>
        <v>-2.2645348837209318</v>
      </c>
      <c r="CX265" s="20">
        <f t="shared" ca="1" si="295"/>
        <v>-1.5096899224806213</v>
      </c>
      <c r="CY265" s="20">
        <f t="shared" ca="1" si="296"/>
        <v>-0.90581395348837268</v>
      </c>
      <c r="CZ265" s="20">
        <f t="shared" ca="1" si="297"/>
        <v>-0.50322997416020709</v>
      </c>
      <c r="DA265" s="20">
        <f t="shared" ca="1" si="315"/>
        <v>-0.26641586867305078</v>
      </c>
      <c r="DB265" s="20">
        <f t="shared" ca="1" si="316"/>
        <v>-0.1372445384073292</v>
      </c>
      <c r="DC265" s="20">
        <f t="shared" ca="1" si="317"/>
        <v>-6.9677996422182517E-2</v>
      </c>
      <c r="DD265" s="21">
        <f t="shared" ca="1" si="318"/>
        <v>6.9677996422182517E-2</v>
      </c>
      <c r="DE265" s="21">
        <f t="shared" ca="1" si="319"/>
        <v>0.1372445384073292</v>
      </c>
      <c r="DF265" s="21">
        <f t="shared" ca="1" si="320"/>
        <v>0.26641586867305078</v>
      </c>
      <c r="DG265" s="21">
        <f t="shared" ca="1" si="298"/>
        <v>0.50322997416020709</v>
      </c>
      <c r="DH265" s="21">
        <f t="shared" ca="1" si="299"/>
        <v>0.90581395348837268</v>
      </c>
      <c r="DI265" s="21">
        <f t="shared" ca="1" si="300"/>
        <v>1.5096899224806213</v>
      </c>
      <c r="DJ265" s="21">
        <f t="shared" ca="1" si="301"/>
        <v>2.2645348837209318</v>
      </c>
      <c r="DL265" s="16" cm="1">
        <f t="array" aca="1" ref="DL265" ca="1">MAX(_xlfn._xlws.FILTER(CW265:DJ265,CW265:DJ265&lt;BU265))</f>
        <v>-6.9677996422182517E-2</v>
      </c>
      <c r="DM265" s="16" cm="1">
        <f t="array" aca="1" ref="DM265" ca="1">MIN(_xlfn._xlws.FILTER(CW265:DJ265,CW265:DJ265&gt;BU265))</f>
        <v>6.9677996422182517E-2</v>
      </c>
      <c r="DN265" s="2" cm="1">
        <f t="array" aca="1" ref="DN265" ca="1">_FV(EC265,"Fechamento anterior",TRUE)</f>
        <v>5.68</v>
      </c>
      <c r="DO265" s="28">
        <f t="shared" ca="1" si="302"/>
        <v>0.52526713554756066</v>
      </c>
      <c r="DP265" s="15">
        <f t="shared" ca="1" si="283"/>
        <v>5.2842289803220028</v>
      </c>
      <c r="DQ265" s="15">
        <f t="shared" ca="1" si="284"/>
        <v>6.0757710196779966</v>
      </c>
      <c r="DR265" s="9"/>
      <c r="DS265" s="9"/>
      <c r="DT265" s="9"/>
      <c r="DU265" s="89">
        <v>0.12180808881839802</v>
      </c>
      <c r="DV265" s="89">
        <f t="shared" ca="1" si="303"/>
        <v>0.13935599284436503</v>
      </c>
      <c r="DW265" s="72">
        <f t="shared" ca="1" si="304"/>
        <v>0.16187469273824201</v>
      </c>
      <c r="DX265" s="37"/>
      <c r="DY265" s="35">
        <f t="shared" si="314"/>
        <v>0.13899640283115247</v>
      </c>
      <c r="DZ265" s="56"/>
      <c r="EA265" s="56"/>
      <c r="EC265" s="2" t="e" vm="267">
        <v>#VALUE!</v>
      </c>
      <c r="EE265" s="10" cm="1">
        <f t="array" aca="1" ref="EE265" ca="1">_FV(EC265,"Ações em circulação",TRUE)</f>
        <v>114333800</v>
      </c>
      <c r="EF265" s="18">
        <f>VLOOKUP(BP265,Fundamentus!A:U,5,FALSE)</f>
        <v>0.60599999999999998</v>
      </c>
      <c r="EG265" s="2">
        <f t="shared" ca="1" si="305"/>
        <v>1075416930.6930692</v>
      </c>
      <c r="EH265" s="17">
        <v>-8925960.5247524753</v>
      </c>
      <c r="EI265" s="17">
        <f t="shared" ca="1" si="306"/>
        <v>-8925960.5247524753</v>
      </c>
      <c r="EK265" s="16">
        <f t="shared" ca="1" si="282"/>
        <v>0</v>
      </c>
      <c r="EL265" s="32" t="str">
        <f>IF(VLOOKUP(BP265,Fundamentus!A:U,3,FALSE)&lt;15,"Bom",IF(VLOOKUP(BP265,Fundamentus!A:U,3,FALSE)&gt;15,"Ruim","n/a"))</f>
        <v>Bom</v>
      </c>
      <c r="EM265" s="28" t="str">
        <f>IF(VLOOKUP(BP265,Fundamentus!A:U,4,FALSE)&lt;1,"Baixo",IF(VLOOKUP(BP265,Fundamentus!A:U,4,FALSE)&lt;1.5,"Moderado",IF(VLOOKUP(BP265,Fundamentus!A:U,4,FALSE)&gt;1.5,"Alto","n/a")))</f>
        <v>Baixo</v>
      </c>
      <c r="EN265" s="17" t="str">
        <f>IF(VLOOKUP(BP265,Fundamentus!A:U,8,FALSE)&lt;0,"Risco elevado",IF(VLOOKUP(BP265,Fundamentus!A:U,8,FALSE)&lt;1,"Saudável",IF(VLOOKUP(BP265,Fundamentus!A:U,8,FALSE)&lt;3,"Estável",IF(VLOOKUP(BP265,Fundamentus!A:U,8,FALSE)&gt;3,"Alerta","n/a"))))</f>
        <v>Alerta</v>
      </c>
      <c r="EO265" s="28" t="str">
        <f t="shared" si="307"/>
        <v>Ruim</v>
      </c>
      <c r="EP265" s="17" t="str">
        <f>IF(VLOOKUP(BP265,Fundamentus!A:U,12,FALSE)&lt;2,"Subvalorizada",IF(VLOOKUP(BP265,Fundamentus!A:U,12,FALSE)&lt;6,"Muita barata",IF(VLOOKUP(BP265,Fundamentus!A:U,12,FALSE)&lt;6,"Barata",IF(VLOOKUP(BP265,Fundamentus!A:U,12,FALSE)&lt;8,"Atrativa",IF(VLOOKUP(BP265,Fundamentus!A:U,12,FALSE)&gt;8,"Supervalorizada","n/a")))))</f>
        <v>Muita barata</v>
      </c>
      <c r="ER265" s="17" t="str">
        <f>IF(VLOOKUP(BP265,Fundamentus!A:U,17,FALSE)&lt;0.1,"Fraco retorno",IF(VLOOKUP(BP265,Fundamentus!A:U,17,FALSE)&gt;0.1,"Bom retorno","n/a"))</f>
        <v>Fraco retorno</v>
      </c>
      <c r="ES265" s="17" t="str">
        <f>IF(VLOOKUP(BP265,Fundamentus!A:U,16,FALSE)&lt;0.1,"Ineficiente",IF(VLOOKUP(BP265,Fundamentus!A:U,16,FALSE)&gt;0.1,"Eficiente","n/a"))</f>
        <v>Ineficiente</v>
      </c>
      <c r="ET265" s="33" t="str">
        <f>IF(VLOOKUP(BP265,Fundamentus!A:U,16,FALSE)&lt;0.1,"Oper. Ineficiente",IF(VLOOKUP(BP265,Fundamentus!A:U,16,FALSE)&gt;0.1,"Oper.Eficiente","n/a"))</f>
        <v>Oper. Ineficiente</v>
      </c>
      <c r="EU265" s="34">
        <f>VLOOKUP(BP265,Fundamentus!A:U,14,FALSE)</f>
        <v>-8.3000000000000001E-3</v>
      </c>
      <c r="EV265" s="17" t="str">
        <f>IF(VLOOKUP(BP265,Fundamentus!A:U,21,FALSE)&lt;0,"Negativo",IF(VLOOKUP(BP265,Fundamentus!A:U,21,FALSE)&lt;0.05,"Fraco",IF(VLOOKUP(BP265,Fundamentus!A:U,21,FALSE)&lt;0.1,"Bom",IF(VLOOKUP(BP265,Fundamentus!A:U,21,FALSE)&gt;0.1,"Muito bom","n/a"))))</f>
        <v>Muito bom</v>
      </c>
      <c r="EX265" s="29" t="str">
        <f>IF(VLOOKUP(BP265,Fundamentus!A:U,15,FALSE)&gt;1,"Bom",IF(VLOOKUP(BP265,Fundamentus!A:U,15,FALSE)&lt;1,"Ruim","n/a"))</f>
        <v>Bom</v>
      </c>
      <c r="EY265" s="17" t="str">
        <f>IF(VLOOKUP(BP265,Fundamentus!A:U,20,FALSE)&lt;0.5,"Baixa",IF(VLOOKUP(BP265,Fundamentus!A:U,20,FALSE)&lt;1,"Moderada",IF(VLOOKUP(BP265,Fundamentus!A:U,20,FALSE)&lt;2,"Alerta",IF(VLOOKUP(BP265,Fundamentus!A:U,20,FALSE)&gt;2,"Alta","n/a"))))</f>
        <v>Baixa</v>
      </c>
    </row>
    <row r="266" spans="1:155" s="2" customFormat="1" ht="11.25" x14ac:dyDescent="0.2">
      <c r="A266" s="4">
        <v>17.399999999999999</v>
      </c>
      <c r="B266" s="4">
        <v>16.7</v>
      </c>
      <c r="C266" s="4">
        <v>14.03</v>
      </c>
      <c r="D266" s="4">
        <v>13.93</v>
      </c>
      <c r="E266" s="4">
        <v>13.25</v>
      </c>
      <c r="F266" s="4">
        <v>13.49</v>
      </c>
      <c r="G266" s="4">
        <v>13.97</v>
      </c>
      <c r="H266" s="4">
        <v>13.97</v>
      </c>
      <c r="I266" s="4">
        <v>12.84</v>
      </c>
      <c r="J266" s="4">
        <v>13.13</v>
      </c>
      <c r="K266" s="4">
        <v>13.25</v>
      </c>
      <c r="L266" s="4">
        <v>13.5</v>
      </c>
      <c r="M266" s="4">
        <v>13.5</v>
      </c>
      <c r="N266" s="4">
        <v>13</v>
      </c>
      <c r="O266" s="4">
        <v>12.6</v>
      </c>
      <c r="P266" s="4">
        <v>11.65</v>
      </c>
      <c r="Q266" s="4">
        <v>11.51</v>
      </c>
      <c r="R266" s="4">
        <v>11</v>
      </c>
      <c r="S266" s="4">
        <v>11.6</v>
      </c>
      <c r="T266" s="4">
        <v>11</v>
      </c>
      <c r="U266" s="4">
        <v>11.61</v>
      </c>
      <c r="V266" s="4">
        <v>11.13</v>
      </c>
      <c r="W266" s="4">
        <v>11.05</v>
      </c>
      <c r="X266" s="4">
        <v>11</v>
      </c>
      <c r="Y266" s="4">
        <v>8.6999999999999993</v>
      </c>
      <c r="Z266" s="4">
        <v>7.98</v>
      </c>
      <c r="AA266" s="4">
        <v>7.99</v>
      </c>
      <c r="AB266" s="4">
        <v>8</v>
      </c>
      <c r="AC266" s="4">
        <v>7.5</v>
      </c>
      <c r="AD266" s="4">
        <v>7.1</v>
      </c>
      <c r="AE266" s="4">
        <v>6.55</v>
      </c>
      <c r="AF266" s="4">
        <v>6.41</v>
      </c>
      <c r="AG266" s="4">
        <v>6.99</v>
      </c>
      <c r="AH266" s="4">
        <v>6.97</v>
      </c>
      <c r="AI266" s="4">
        <v>6.96</v>
      </c>
      <c r="AJ266" s="4">
        <v>7.01</v>
      </c>
      <c r="AK266" s="4">
        <v>6.9</v>
      </c>
      <c r="AL266" s="4">
        <v>7.3</v>
      </c>
      <c r="AM266" s="4">
        <v>7.25</v>
      </c>
      <c r="AN266" s="4">
        <v>8.5500000000000007</v>
      </c>
      <c r="AO266" s="4">
        <v>7.25</v>
      </c>
      <c r="AP266" s="4">
        <v>7.12</v>
      </c>
      <c r="AQ266" s="4">
        <v>6.84</v>
      </c>
      <c r="AR266" s="4">
        <v>6.6</v>
      </c>
      <c r="AS266" s="4">
        <v>6.6</v>
      </c>
      <c r="AT266" s="4">
        <v>6.5</v>
      </c>
      <c r="AU266" s="4">
        <v>6.2949999999999999</v>
      </c>
      <c r="AV266" s="4">
        <v>6.35</v>
      </c>
      <c r="AW266" s="4">
        <v>6.09</v>
      </c>
      <c r="AX266" s="4">
        <v>6.05</v>
      </c>
      <c r="AY266" s="12">
        <v>6.09</v>
      </c>
      <c r="AZ266" s="12">
        <v>6.2</v>
      </c>
      <c r="BA266" s="12">
        <v>5.93</v>
      </c>
      <c r="BB266" s="15">
        <v>5.97</v>
      </c>
      <c r="BC266" s="52">
        <v>5.95</v>
      </c>
      <c r="BD266" s="52">
        <v>5.13</v>
      </c>
      <c r="BE266" s="52">
        <v>5.21</v>
      </c>
      <c r="BF266" s="52">
        <v>5.0999999999999996</v>
      </c>
      <c r="BG266" s="67">
        <v>5.08</v>
      </c>
      <c r="BH266" s="52">
        <v>4.53</v>
      </c>
      <c r="BI266" s="52">
        <v>4.03</v>
      </c>
      <c r="BJ266" s="52">
        <v>3.99</v>
      </c>
      <c r="BK266" s="52">
        <v>4.05</v>
      </c>
      <c r="BL266" s="52">
        <v>4.0199999999999996</v>
      </c>
      <c r="BM266" s="52">
        <v>4.05</v>
      </c>
      <c r="BN266" s="52">
        <v>4.1100000000000003</v>
      </c>
      <c r="BO266" s="52" cm="1">
        <f t="array" aca="1" ref="BO266" ca="1">_FV(EC266,"Preço")</f>
        <v>4.1100000000000003</v>
      </c>
      <c r="BP266" s="69" t="s">
        <v>262</v>
      </c>
      <c r="BQ266" s="36" cm="1">
        <f t="array" aca="1" ref="BQ266" ca="1">_FV(EC266,"Média de volume",TRUE)</f>
        <v>950</v>
      </c>
      <c r="BR266" s="36">
        <v>3700</v>
      </c>
      <c r="BS266" s="36" cm="1">
        <f t="array" aca="1" ref="BS266" ca="1">_FV(EC266,"Volume")</f>
        <v>3700</v>
      </c>
      <c r="BT266" s="24" cm="1">
        <f t="array" aca="1" ref="BT266" ca="1">_FV(EC266,"Beta")</f>
        <v>1.1961999999999999</v>
      </c>
      <c r="BU266" s="71" cm="1">
        <f t="array" aca="1" ref="BU266" ca="1">_FV(EC266,"Variação (%)",TRUE)</f>
        <v>2.75E-2</v>
      </c>
      <c r="BW266" s="17" cm="1">
        <f t="array" aca="1" ref="BW266" ca="1">_FV(EC266,"Baixo")</f>
        <v>3.96</v>
      </c>
      <c r="BX266" s="17" cm="1">
        <f t="array" aca="1" ref="BX266" ca="1">_FV(EC266,"Alto")</f>
        <v>4.12</v>
      </c>
      <c r="BY266" s="24"/>
      <c r="BZ266" s="63" t="e">
        <f ca="1">SQRT(22.5*(BO266/VLOOKUP(BP266,Fundamentus!A:U,3,FALSE))*(BO266/VLOOKUP(BP266,Fundamentus!A:U,4,FALSE)))</f>
        <v>#NUM!</v>
      </c>
      <c r="CB266" s="62">
        <f t="shared" ca="1" si="308"/>
        <v>0</v>
      </c>
      <c r="CC266" s="8"/>
      <c r="CD266" s="61">
        <f t="shared" si="309"/>
        <v>3.99</v>
      </c>
      <c r="CE266" s="61">
        <f t="shared" si="310"/>
        <v>17.399999999999999</v>
      </c>
      <c r="CF266" s="61">
        <f t="shared" si="311"/>
        <v>8.6879545454545468</v>
      </c>
      <c r="CG266" s="14"/>
      <c r="CH266" s="35">
        <f t="shared" si="285"/>
        <v>4.030401005031484</v>
      </c>
      <c r="CI266" s="15">
        <f t="shared" si="312"/>
        <v>4.1100000000000136</v>
      </c>
      <c r="CJ266" s="35">
        <f t="shared" si="286"/>
        <v>4.1895989949685433</v>
      </c>
      <c r="CL266" s="14"/>
      <c r="CM266" s="17">
        <f t="shared" si="287"/>
        <v>-13.809999999999997</v>
      </c>
      <c r="CN266" s="17">
        <f t="shared" si="288"/>
        <v>-4.9099999999999984</v>
      </c>
      <c r="CO266" s="17">
        <f t="shared" si="289"/>
        <v>-0.39999999999999858</v>
      </c>
      <c r="CP266" s="38">
        <f t="shared" si="313"/>
        <v>8.5</v>
      </c>
      <c r="CQ266" s="17">
        <f t="shared" si="290"/>
        <v>13.01</v>
      </c>
      <c r="CR266" s="17">
        <f t="shared" si="291"/>
        <v>21.909999999999997</v>
      </c>
      <c r="CS266" s="17">
        <f t="shared" si="292"/>
        <v>26.419999999999998</v>
      </c>
      <c r="CT266" s="2" cm="1">
        <f t="array" aca="1" ref="CT266" ca="1">MAX(_xlfn._xlws.FILTER(CM266:CS266,CM266:CS266&lt;BO266))</f>
        <v>-0.39999999999999858</v>
      </c>
      <c r="CU266" s="2" cm="1">
        <f t="array" aca="1" ref="CU266" ca="1">MIN(_xlfn._xlws.FILTER($CM266:$CS266,$CM266:$CS266&gt;BO266))</f>
        <v>8.5</v>
      </c>
      <c r="CV266" s="16">
        <f t="shared" ca="1" si="293"/>
        <v>-22.250000000000075</v>
      </c>
      <c r="CW266" s="20">
        <f t="shared" ca="1" si="294"/>
        <v>11.125000000000037</v>
      </c>
      <c r="CX266" s="20">
        <f t="shared" ca="1" si="295"/>
        <v>7.4166666666666918</v>
      </c>
      <c r="CY266" s="20">
        <f t="shared" ca="1" si="296"/>
        <v>4.4500000000000153</v>
      </c>
      <c r="CZ266" s="20">
        <f t="shared" ca="1" si="297"/>
        <v>2.4722222222222303</v>
      </c>
      <c r="DA266" s="20">
        <f t="shared" ca="1" si="315"/>
        <v>1.3088235294117692</v>
      </c>
      <c r="DB266" s="20">
        <f t="shared" ca="1" si="316"/>
        <v>0.67424242424242653</v>
      </c>
      <c r="DC266" s="20">
        <f t="shared" ca="1" si="317"/>
        <v>0.34230769230769348</v>
      </c>
      <c r="DD266" s="21">
        <f t="shared" ca="1" si="318"/>
        <v>-0.34230769230769348</v>
      </c>
      <c r="DE266" s="21">
        <f t="shared" ca="1" si="319"/>
        <v>-0.67424242424242653</v>
      </c>
      <c r="DF266" s="21">
        <f t="shared" ca="1" si="320"/>
        <v>-1.3088235294117692</v>
      </c>
      <c r="DG266" s="21">
        <f t="shared" ca="1" si="298"/>
        <v>-2.4722222222222303</v>
      </c>
      <c r="DH266" s="21">
        <f t="shared" ca="1" si="299"/>
        <v>-4.4500000000000153</v>
      </c>
      <c r="DI266" s="21">
        <f t="shared" ca="1" si="300"/>
        <v>-7.4166666666666918</v>
      </c>
      <c r="DJ266" s="21">
        <f t="shared" ca="1" si="301"/>
        <v>-11.125000000000037</v>
      </c>
      <c r="DL266" s="16" cm="1">
        <f t="array" aca="1" ref="DL266" ca="1">MAX(_xlfn._xlws.FILTER(CW266:DJ266,CW266:DJ266&lt;BU266))</f>
        <v>-0.34230769230769348</v>
      </c>
      <c r="DM266" s="16" cm="1">
        <f t="array" aca="1" ref="DM266" ca="1">MIN(_xlfn._xlws.FILTER(CW266:DJ266,CW266:DJ266&gt;BU266))</f>
        <v>0.34230769230769348</v>
      </c>
      <c r="DN266" s="2" cm="1">
        <f t="array" aca="1" ref="DN266" ca="1">_FV(EC266,"Fechamento anterior",TRUE)</f>
        <v>4</v>
      </c>
      <c r="DO266" s="28">
        <f t="shared" ca="1" si="302"/>
        <v>0.54016853932584263</v>
      </c>
      <c r="DP266" s="15">
        <f t="shared" ca="1" si="283"/>
        <v>2.6307692307692259</v>
      </c>
      <c r="DQ266" s="15">
        <f t="shared" ca="1" si="284"/>
        <v>5.3692307692307741</v>
      </c>
      <c r="DR266" s="9"/>
      <c r="DS266" s="9"/>
      <c r="DT266" s="9"/>
      <c r="DU266" s="89">
        <v>0.5973244147157224</v>
      </c>
      <c r="DV266" s="89">
        <f t="shared" ca="1" si="303"/>
        <v>0.68461538461538696</v>
      </c>
      <c r="DW266" s="72">
        <f t="shared" ca="1" si="304"/>
        <v>-1.673724184679612E-13</v>
      </c>
      <c r="DX266" s="37"/>
      <c r="DY266" s="35">
        <f t="shared" si="314"/>
        <v>3.9799497484264881E-2</v>
      </c>
      <c r="DZ266" s="56"/>
      <c r="EA266" s="56"/>
      <c r="EC266" s="2" t="e" vm="268">
        <v>#VALUE!</v>
      </c>
      <c r="EE266" s="10" cm="1">
        <f t="array" aca="1" ref="EE266" ca="1">_FV(EC266,"Ações em circulação",TRUE)</f>
        <v>5783210</v>
      </c>
      <c r="EF266" s="18">
        <f>VLOOKUP(BP266,Fundamentus!A:U,5,FALSE)</f>
        <v>2.4E-2</v>
      </c>
      <c r="EG266" s="2">
        <f t="shared" ca="1" si="305"/>
        <v>990374712.5</v>
      </c>
      <c r="EH266" s="17">
        <v>-25650705.053750001</v>
      </c>
      <c r="EI266" s="17">
        <f t="shared" ca="1" si="306"/>
        <v>-25650705.053750001</v>
      </c>
      <c r="EK266" s="16">
        <f t="shared" ca="1" si="282"/>
        <v>0</v>
      </c>
      <c r="EL266" s="32" t="str">
        <f>IF(VLOOKUP(BP266,Fundamentus!A:U,3,FALSE)&lt;15,"Bom",IF(VLOOKUP(BP266,Fundamentus!A:U,3,FALSE)&gt;15,"Ruim","n/a"))</f>
        <v>Bom</v>
      </c>
      <c r="EM266" s="28" t="str">
        <f>IF(VLOOKUP(BP266,Fundamentus!A:U,4,FALSE)&lt;1,"Baixo",IF(VLOOKUP(BP266,Fundamentus!A:U,4,FALSE)&lt;1.5,"Moderado",IF(VLOOKUP(BP266,Fundamentus!A:U,4,FALSE)&gt;1.5,"Alto","n/a")))</f>
        <v>Alto</v>
      </c>
      <c r="EN266" s="17" t="str">
        <f>IF(VLOOKUP(BP266,Fundamentus!A:U,8,FALSE)&lt;0,"Risco elevado",IF(VLOOKUP(BP266,Fundamentus!A:U,8,FALSE)&lt;1,"Saudável",IF(VLOOKUP(BP266,Fundamentus!A:U,8,FALSE)&lt;3,"Estável",IF(VLOOKUP(BP266,Fundamentus!A:U,8,FALSE)&gt;3,"Alerta","n/a"))))</f>
        <v>Saudável</v>
      </c>
      <c r="EO266" s="28" t="str">
        <f t="shared" si="307"/>
        <v>Ruim</v>
      </c>
      <c r="EP266" s="17" t="str">
        <f>IF(VLOOKUP(BP266,Fundamentus!A:U,12,FALSE)&lt;2,"Subvalorizada",IF(VLOOKUP(BP266,Fundamentus!A:U,12,FALSE)&lt;6,"Muita barata",IF(VLOOKUP(BP266,Fundamentus!A:U,12,FALSE)&lt;6,"Barata",IF(VLOOKUP(BP266,Fundamentus!A:U,12,FALSE)&lt;8,"Atrativa",IF(VLOOKUP(BP266,Fundamentus!A:U,12,FALSE)&gt;8,"Supervalorizada","n/a")))))</f>
        <v>Atrativa</v>
      </c>
      <c r="ER266" s="17" t="str">
        <f>IF(VLOOKUP(BP266,Fundamentus!A:U,17,FALSE)&lt;0.1,"Fraco retorno",IF(VLOOKUP(BP266,Fundamentus!A:U,17,FALSE)&gt;0.1,"Bom retorno","n/a"))</f>
        <v>Fraco retorno</v>
      </c>
      <c r="ES266" s="17" t="str">
        <f>IF(VLOOKUP(BP266,Fundamentus!A:U,16,FALSE)&lt;0.1,"Ineficiente",IF(VLOOKUP(BP266,Fundamentus!A:U,16,FALSE)&gt;0.1,"Eficiente","n/a"))</f>
        <v>Eficiente</v>
      </c>
      <c r="ET266" s="33" t="str">
        <f>IF(VLOOKUP(BP266,Fundamentus!A:U,16,FALSE)&lt;0.1,"Oper. Ineficiente",IF(VLOOKUP(BP266,Fundamentus!A:U,16,FALSE)&gt;0.1,"Oper.Eficiente","n/a"))</f>
        <v>Oper.Eficiente</v>
      </c>
      <c r="EU266" s="34">
        <f>VLOOKUP(BP266,Fundamentus!A:U,14,FALSE)</f>
        <v>-2.5899999999999999E-2</v>
      </c>
      <c r="EV266" s="17" t="str">
        <f>IF(VLOOKUP(BP266,Fundamentus!A:U,21,FALSE)&lt;0,"Negativo",IF(VLOOKUP(BP266,Fundamentus!A:U,21,FALSE)&lt;0.05,"Fraco",IF(VLOOKUP(BP266,Fundamentus!A:U,21,FALSE)&lt;0.1,"Bom",IF(VLOOKUP(BP266,Fundamentus!A:U,21,FALSE)&gt;0.1,"Muito bom","n/a"))))</f>
        <v>Bom</v>
      </c>
      <c r="EX266" s="29" t="str">
        <f>IF(VLOOKUP(BP266,Fundamentus!A:U,15,FALSE)&gt;1,"Bom",IF(VLOOKUP(BP266,Fundamentus!A:U,15,FALSE)&lt;1,"Ruim","n/a"))</f>
        <v>Bom</v>
      </c>
      <c r="EY266" s="17" t="str">
        <f>IF(VLOOKUP(BP266,Fundamentus!A:U,20,FALSE)&lt;0.5,"Baixa",IF(VLOOKUP(BP266,Fundamentus!A:U,20,FALSE)&lt;1,"Moderada",IF(VLOOKUP(BP266,Fundamentus!A:U,20,FALSE)&lt;2,"Alerta",IF(VLOOKUP(BP266,Fundamentus!A:U,20,FALSE)&gt;2,"Alta","n/a"))))</f>
        <v>Alta</v>
      </c>
    </row>
    <row r="267" spans="1:155" s="2" customFormat="1" ht="11.25" x14ac:dyDescent="0.2">
      <c r="A267" s="4">
        <v>1.61</v>
      </c>
      <c r="B267" s="4">
        <v>1.7</v>
      </c>
      <c r="C267" s="4">
        <v>1.71</v>
      </c>
      <c r="D267" s="4">
        <v>1.63</v>
      </c>
      <c r="E267" s="4">
        <v>4.54</v>
      </c>
      <c r="F267" s="4">
        <v>4.2699999999999996</v>
      </c>
      <c r="G267" s="4">
        <v>3.48</v>
      </c>
      <c r="H267" s="4">
        <v>2.84</v>
      </c>
      <c r="I267" s="4">
        <v>2.83</v>
      </c>
      <c r="J267" s="4">
        <v>2.94</v>
      </c>
      <c r="K267" s="4">
        <v>3.01</v>
      </c>
      <c r="L267" s="4">
        <v>2.85</v>
      </c>
      <c r="M267" s="4">
        <v>2.98</v>
      </c>
      <c r="N267" s="4">
        <v>2.65</v>
      </c>
      <c r="O267" s="4">
        <v>3.02</v>
      </c>
      <c r="P267" s="4">
        <v>2.82</v>
      </c>
      <c r="Q267" s="4">
        <v>3.6</v>
      </c>
      <c r="R267" s="4">
        <v>4.7</v>
      </c>
      <c r="S267" s="4">
        <v>7.56</v>
      </c>
      <c r="T267" s="4">
        <v>7.35</v>
      </c>
      <c r="U267" s="4">
        <v>4.8899999999999997</v>
      </c>
      <c r="V267" s="4">
        <v>4.96</v>
      </c>
      <c r="W267" s="4">
        <v>4.7</v>
      </c>
      <c r="X267" s="4">
        <v>4.53</v>
      </c>
      <c r="Y267" s="4">
        <v>4.3099999999999996</v>
      </c>
      <c r="Z267" s="4">
        <v>4.07</v>
      </c>
      <c r="AA267" s="4">
        <v>3.82</v>
      </c>
      <c r="AB267" s="4">
        <v>4.25</v>
      </c>
      <c r="AC267" s="4">
        <v>3.96</v>
      </c>
      <c r="AD267" s="4">
        <v>4.1100000000000003</v>
      </c>
      <c r="AE267" s="4">
        <v>4.46</v>
      </c>
      <c r="AF267" s="4">
        <v>4.97</v>
      </c>
      <c r="AG267" s="4">
        <v>5.42</v>
      </c>
      <c r="AH267" s="4">
        <v>5.6</v>
      </c>
      <c r="AI267" s="4">
        <v>6.5</v>
      </c>
      <c r="AJ267" s="4">
        <v>5.4</v>
      </c>
      <c r="AK267" s="4">
        <v>4.82</v>
      </c>
      <c r="AL267" s="4">
        <v>4.7</v>
      </c>
      <c r="AM267" s="4">
        <v>4.01</v>
      </c>
      <c r="AN267" s="4">
        <v>3.83</v>
      </c>
      <c r="AO267" s="4">
        <v>3.28</v>
      </c>
      <c r="AP267" s="4">
        <v>3.6</v>
      </c>
      <c r="AQ267" s="4">
        <v>3.45</v>
      </c>
      <c r="AR267" s="4">
        <v>3.12</v>
      </c>
      <c r="AS267" s="4">
        <v>3.21</v>
      </c>
      <c r="AT267" s="4">
        <v>3.36</v>
      </c>
      <c r="AU267" s="4">
        <v>3.36</v>
      </c>
      <c r="AV267" s="4">
        <v>3.3</v>
      </c>
      <c r="AW267" s="4">
        <v>3.02</v>
      </c>
      <c r="AX267" s="4">
        <v>2.7</v>
      </c>
      <c r="AY267" s="12">
        <v>2.76</v>
      </c>
      <c r="AZ267" s="12">
        <v>2.89</v>
      </c>
      <c r="BA267" s="12">
        <v>2.56</v>
      </c>
      <c r="BB267" s="15">
        <v>2.63</v>
      </c>
      <c r="BC267" s="52">
        <v>2.88</v>
      </c>
      <c r="BD267" s="52">
        <v>2.79</v>
      </c>
      <c r="BE267" s="52">
        <v>2.72</v>
      </c>
      <c r="BF267" s="52">
        <v>2.6</v>
      </c>
      <c r="BG267" s="67">
        <v>2.5</v>
      </c>
      <c r="BH267" s="52">
        <v>2.41</v>
      </c>
      <c r="BI267" s="52">
        <v>2.33</v>
      </c>
      <c r="BJ267" s="52">
        <v>2.2999999999999998</v>
      </c>
      <c r="BK267" s="52">
        <v>2.12</v>
      </c>
      <c r="BL267" s="52">
        <v>2.0299999999999998</v>
      </c>
      <c r="BM267" s="52">
        <v>1.99</v>
      </c>
      <c r="BN267" s="52">
        <v>1.82</v>
      </c>
      <c r="BO267" s="52" cm="1">
        <f t="array" aca="1" ref="BO267" ca="1">_FV(EC267,"Preço")</f>
        <v>1.82</v>
      </c>
      <c r="BP267" s="69" t="s">
        <v>263</v>
      </c>
      <c r="BQ267" s="36" cm="1">
        <f t="array" aca="1" ref="BQ267" ca="1">_FV(EC267,"Média de volume",TRUE)</f>
        <v>5074990</v>
      </c>
      <c r="BR267" s="36">
        <v>131200</v>
      </c>
      <c r="BS267" s="36" cm="1">
        <f t="array" aca="1" ref="BS267" ca="1">_FV(EC267,"Volume")</f>
        <v>131200</v>
      </c>
      <c r="BT267" s="24" cm="1">
        <f t="array" aca="1" ref="BT267" ca="1">_FV(EC267,"Beta")</f>
        <v>1.4274</v>
      </c>
      <c r="BU267" s="71" cm="1">
        <f t="array" aca="1" ref="BU267" ca="1">_FV(EC267,"Variação (%)",TRUE)</f>
        <v>-1.0869999999999999E-2</v>
      </c>
      <c r="BW267" s="17" cm="1">
        <f t="array" aca="1" ref="BW267" ca="1">_FV(EC267,"Baixo")</f>
        <v>1.8</v>
      </c>
      <c r="BX267" s="17" cm="1">
        <f t="array" aca="1" ref="BX267" ca="1">_FV(EC267,"Alto")</f>
        <v>1.86</v>
      </c>
      <c r="BY267" s="24"/>
      <c r="BZ267" s="63">
        <f ca="1">SQRT(22.5*(BO267/VLOOKUP(BP267,Fundamentus!A:U,3,FALSE))*(BO267/VLOOKUP(BP267,Fundamentus!A:U,4,FALSE)))</f>
        <v>2.6161741729255912</v>
      </c>
      <c r="CB267" s="62">
        <f t="shared" ca="1" si="308"/>
        <v>0</v>
      </c>
      <c r="CC267" s="8"/>
      <c r="CD267" s="61">
        <f t="shared" si="309"/>
        <v>1.61</v>
      </c>
      <c r="CE267" s="61">
        <f t="shared" si="310"/>
        <v>7.56</v>
      </c>
      <c r="CF267" s="61">
        <f t="shared" si="311"/>
        <v>3.5322727272727272</v>
      </c>
      <c r="CG267" s="14"/>
      <c r="CH267" s="35">
        <f t="shared" si="285"/>
        <v>1.4396842851997338</v>
      </c>
      <c r="CI267" s="15">
        <f t="shared" si="312"/>
        <v>1.7549999999999955</v>
      </c>
      <c r="CJ267" s="35">
        <f t="shared" si="286"/>
        <v>2.0703157148002571</v>
      </c>
      <c r="CL267" s="14"/>
      <c r="CM267" s="17">
        <f t="shared" si="287"/>
        <v>-6.1833333333333318</v>
      </c>
      <c r="CN267" s="17">
        <f t="shared" si="288"/>
        <v>-2.2866666666666657</v>
      </c>
      <c r="CO267" s="17">
        <f t="shared" si="289"/>
        <v>-0.2333333333333325</v>
      </c>
      <c r="CP267" s="38">
        <f t="shared" si="313"/>
        <v>3.6633333333333336</v>
      </c>
      <c r="CQ267" s="17">
        <f t="shared" si="290"/>
        <v>5.7166666666666668</v>
      </c>
      <c r="CR267" s="17">
        <f t="shared" si="291"/>
        <v>9.6133333333333333</v>
      </c>
      <c r="CS267" s="17">
        <f t="shared" si="292"/>
        <v>11.666666666666668</v>
      </c>
      <c r="CT267" s="2" cm="1">
        <f t="array" aca="1" ref="CT267" ca="1">MAX(_xlfn._xlws.FILTER(CM267:CS267,CM267:CS267&lt;BO267))</f>
        <v>-0.2333333333333325</v>
      </c>
      <c r="CU267" s="2" cm="1">
        <f t="array" aca="1" ref="CU267" ca="1">MIN(_xlfn._xlws.FILTER($CM267:$CS267,$CM267:$CS267&gt;BO267))</f>
        <v>3.6633333333333336</v>
      </c>
      <c r="CV267" s="16">
        <f t="shared" ca="1" si="293"/>
        <v>-16.700000000000056</v>
      </c>
      <c r="CW267" s="20">
        <f t="shared" ca="1" si="294"/>
        <v>8.3500000000000281</v>
      </c>
      <c r="CX267" s="20">
        <f t="shared" ca="1" si="295"/>
        <v>5.5666666666666851</v>
      </c>
      <c r="CY267" s="20">
        <f t="shared" ca="1" si="296"/>
        <v>3.3400000000000114</v>
      </c>
      <c r="CZ267" s="20">
        <f t="shared" ca="1" si="297"/>
        <v>1.8555555555555618</v>
      </c>
      <c r="DA267" s="20">
        <f t="shared" ca="1" si="315"/>
        <v>0.98235294117647387</v>
      </c>
      <c r="DB267" s="20">
        <f t="shared" ca="1" si="316"/>
        <v>0.50606060606060776</v>
      </c>
      <c r="DC267" s="20">
        <f t="shared" ca="1" si="317"/>
        <v>0.25692307692307781</v>
      </c>
      <c r="DD267" s="21">
        <f t="shared" ca="1" si="318"/>
        <v>-0.25692307692307781</v>
      </c>
      <c r="DE267" s="21">
        <f t="shared" ca="1" si="319"/>
        <v>-0.50606060606060776</v>
      </c>
      <c r="DF267" s="21">
        <f t="shared" ca="1" si="320"/>
        <v>-0.98235294117647387</v>
      </c>
      <c r="DG267" s="21">
        <f t="shared" ca="1" si="298"/>
        <v>-1.8555555555555618</v>
      </c>
      <c r="DH267" s="21">
        <f t="shared" ca="1" si="299"/>
        <v>-3.3400000000000114</v>
      </c>
      <c r="DI267" s="21">
        <f t="shared" ca="1" si="300"/>
        <v>-5.5666666666666851</v>
      </c>
      <c r="DJ267" s="21">
        <f t="shared" ca="1" si="301"/>
        <v>-8.3500000000000281</v>
      </c>
      <c r="DL267" s="16" cm="1">
        <f t="array" aca="1" ref="DL267" ca="1">MAX(_xlfn._xlws.FILTER(CW267:DJ267,CW267:DJ267&lt;BU267))</f>
        <v>-0.25692307692307781</v>
      </c>
      <c r="DM267" s="16" cm="1">
        <f t="array" aca="1" ref="DM267" ca="1">MIN(_xlfn._xlws.FILTER(CW267:DJ267,CW267:DJ267&gt;BU267))</f>
        <v>0.25692307692307781</v>
      </c>
      <c r="DN267" s="2" cm="1">
        <f t="array" aca="1" ref="DN267" ca="1">_FV(EC267,"Fechamento anterior",TRUE)</f>
        <v>1.84</v>
      </c>
      <c r="DO267" s="28">
        <f t="shared" ca="1" si="302"/>
        <v>0.47884665451705277</v>
      </c>
      <c r="DP267" s="15">
        <f t="shared" ca="1" si="283"/>
        <v>1.367261538461537</v>
      </c>
      <c r="DQ267" s="15">
        <f t="shared" ca="1" si="284"/>
        <v>2.3127384615384634</v>
      </c>
      <c r="DR267" s="9"/>
      <c r="DS267" s="9"/>
      <c r="DT267" s="9"/>
      <c r="DU267" s="89">
        <v>1.2615384615384566</v>
      </c>
      <c r="DV267" s="89">
        <f t="shared" ca="1" si="303"/>
        <v>0.51384615384615562</v>
      </c>
      <c r="DW267" s="72">
        <f t="shared" ca="1" si="304"/>
        <v>0.20614259597298915</v>
      </c>
      <c r="DX267" s="37"/>
      <c r="DY267" s="35">
        <f t="shared" si="314"/>
        <v>0.1576578574001308</v>
      </c>
      <c r="DZ267" s="56"/>
      <c r="EA267" s="56"/>
      <c r="EC267" s="2" t="e" vm="269">
        <v>#VALUE!</v>
      </c>
      <c r="EE267" s="10" cm="1">
        <f t="array" aca="1" ref="EE267" ca="1">_FV(EC267,"Ações em circulação",TRUE)</f>
        <v>31822290</v>
      </c>
      <c r="EF267" s="18">
        <f>VLOOKUP(BP267,Fundamentus!A:U,5,FALSE)</f>
        <v>5.8079999999999998</v>
      </c>
      <c r="EG267" s="2">
        <f t="shared" ca="1" si="305"/>
        <v>9971860.8471074384</v>
      </c>
      <c r="EH267" s="17">
        <v>-18610483.898956612</v>
      </c>
      <c r="EI267" s="17">
        <f t="shared" ca="1" si="306"/>
        <v>-18610483.898956612</v>
      </c>
      <c r="EK267" s="16">
        <f t="shared" ca="1" si="282"/>
        <v>0</v>
      </c>
      <c r="EL267" s="32" t="str">
        <f>IF(VLOOKUP(BP267,Fundamentus!A:U,3,FALSE)&lt;15,"Bom",IF(VLOOKUP(BP267,Fundamentus!A:U,3,FALSE)&gt;15,"Ruim","n/a"))</f>
        <v>Bom</v>
      </c>
      <c r="EM267" s="28" t="str">
        <f>IF(VLOOKUP(BP267,Fundamentus!A:U,4,FALSE)&lt;1,"Baixo",IF(VLOOKUP(BP267,Fundamentus!A:U,4,FALSE)&lt;1.5,"Moderado",IF(VLOOKUP(BP267,Fundamentus!A:U,4,FALSE)&gt;1.5,"Alto","n/a")))</f>
        <v>Baixo</v>
      </c>
      <c r="EN267" s="17" t="str">
        <f>IF(VLOOKUP(BP267,Fundamentus!A:U,8,FALSE)&lt;0,"Risco elevado",IF(VLOOKUP(BP267,Fundamentus!A:U,8,FALSE)&lt;1,"Saudável",IF(VLOOKUP(BP267,Fundamentus!A:U,8,FALSE)&lt;3,"Estável",IF(VLOOKUP(BP267,Fundamentus!A:U,8,FALSE)&gt;3,"Alerta","n/a"))))</f>
        <v>Risco elevado</v>
      </c>
      <c r="EO267" s="28" t="str">
        <f t="shared" si="307"/>
        <v>Bom</v>
      </c>
      <c r="EP267" s="17" t="str">
        <f>IF(VLOOKUP(BP267,Fundamentus!A:U,12,FALSE)&lt;2,"Subvalorizada",IF(VLOOKUP(BP267,Fundamentus!A:U,12,FALSE)&lt;6,"Muita barata",IF(VLOOKUP(BP267,Fundamentus!A:U,12,FALSE)&lt;6,"Barata",IF(VLOOKUP(BP267,Fundamentus!A:U,12,FALSE)&lt;8,"Atrativa",IF(VLOOKUP(BP267,Fundamentus!A:U,12,FALSE)&gt;8,"Supervalorizada","n/a")))))</f>
        <v>Subvalorizada</v>
      </c>
      <c r="ER267" s="17" t="str">
        <f>IF(VLOOKUP(BP267,Fundamentus!A:U,17,FALSE)&lt;0.1,"Fraco retorno",IF(VLOOKUP(BP267,Fundamentus!A:U,17,FALSE)&gt;0.1,"Bom retorno","n/a"))</f>
        <v>Bom retorno</v>
      </c>
      <c r="ES267" s="17" t="str">
        <f>IF(VLOOKUP(BP267,Fundamentus!A:U,16,FALSE)&lt;0.1,"Ineficiente",IF(VLOOKUP(BP267,Fundamentus!A:U,16,FALSE)&gt;0.1,"Eficiente","n/a"))</f>
        <v>Ineficiente</v>
      </c>
      <c r="ET267" s="33" t="str">
        <f>IF(VLOOKUP(BP267,Fundamentus!A:U,16,FALSE)&lt;0.1,"Oper. Ineficiente",IF(VLOOKUP(BP267,Fundamentus!A:U,16,FALSE)&gt;0.1,"Oper.Eficiente","n/a"))</f>
        <v>Oper. Ineficiente</v>
      </c>
      <c r="EU267" s="34">
        <f>VLOOKUP(BP267,Fundamentus!A:U,14,FALSE)</f>
        <v>-1.8663000000000001</v>
      </c>
      <c r="EV267" s="17" t="str">
        <f>IF(VLOOKUP(BP267,Fundamentus!A:U,21,FALSE)&lt;0,"Negativo",IF(VLOOKUP(BP267,Fundamentus!A:U,21,FALSE)&lt;0.05,"Fraco",IF(VLOOKUP(BP267,Fundamentus!A:U,21,FALSE)&lt;0.1,"Bom",IF(VLOOKUP(BP267,Fundamentus!A:U,21,FALSE)&gt;0.1,"Muito bom","n/a"))))</f>
        <v>Negativo</v>
      </c>
      <c r="EX267" s="29" t="str">
        <f>IF(VLOOKUP(BP267,Fundamentus!A:U,15,FALSE)&gt;1,"Bom",IF(VLOOKUP(BP267,Fundamentus!A:U,15,FALSE)&lt;1,"Ruim","n/a"))</f>
        <v>Ruim</v>
      </c>
      <c r="EY267" s="17" t="str">
        <f>IF(VLOOKUP(BP267,Fundamentus!A:U,20,FALSE)&lt;0.5,"Baixa",IF(VLOOKUP(BP267,Fundamentus!A:U,20,FALSE)&lt;1,"Moderada",IF(VLOOKUP(BP267,Fundamentus!A:U,20,FALSE)&lt;2,"Alerta",IF(VLOOKUP(BP267,Fundamentus!A:U,20,FALSE)&gt;2,"Alta","n/a"))))</f>
        <v>Baixa</v>
      </c>
    </row>
    <row r="268" spans="1:155" s="2" customFormat="1" ht="11.25" x14ac:dyDescent="0.2">
      <c r="A268" s="4">
        <v>10.65</v>
      </c>
      <c r="B268" s="4">
        <v>9.7899999999999991</v>
      </c>
      <c r="C268" s="4">
        <v>11.07</v>
      </c>
      <c r="D268" s="4">
        <v>10.49</v>
      </c>
      <c r="E268" s="4">
        <v>10.47</v>
      </c>
      <c r="F268" s="4">
        <v>10.41</v>
      </c>
      <c r="G268" s="4">
        <v>9.74</v>
      </c>
      <c r="H268" s="4">
        <v>9.8800000000000008</v>
      </c>
      <c r="I268" s="4">
        <v>9.86</v>
      </c>
      <c r="J268" s="4">
        <v>10.49</v>
      </c>
      <c r="K268" s="4">
        <v>10.46</v>
      </c>
      <c r="L268" s="4">
        <v>9.75</v>
      </c>
      <c r="M268" s="4">
        <v>9.6300000000000008</v>
      </c>
      <c r="N268" s="4">
        <v>8.74</v>
      </c>
      <c r="O268" s="4">
        <v>8.84</v>
      </c>
      <c r="P268" s="4">
        <v>8.7100000000000009</v>
      </c>
      <c r="Q268" s="4">
        <v>9.6</v>
      </c>
      <c r="R268" s="4">
        <v>8.65</v>
      </c>
      <c r="S268" s="4">
        <v>8.3800000000000008</v>
      </c>
      <c r="T268" s="4">
        <v>9.1999999999999993</v>
      </c>
      <c r="U268" s="4">
        <v>8.84</v>
      </c>
      <c r="V268" s="4">
        <v>8.0399999999999991</v>
      </c>
      <c r="W268" s="4">
        <v>8.2100000000000009</v>
      </c>
      <c r="X268" s="4">
        <v>8.01</v>
      </c>
      <c r="Y268" s="4">
        <v>7.76</v>
      </c>
      <c r="Z268" s="4">
        <v>7.14</v>
      </c>
      <c r="AA268" s="4">
        <v>7.27</v>
      </c>
      <c r="AB268" s="4">
        <v>7.32</v>
      </c>
      <c r="AC268" s="4">
        <v>7.95</v>
      </c>
      <c r="AD268" s="4">
        <v>8.15</v>
      </c>
      <c r="AE268" s="4">
        <v>6.7</v>
      </c>
      <c r="AF268" s="4">
        <v>6.36</v>
      </c>
      <c r="AG268" s="4">
        <v>5.85</v>
      </c>
      <c r="AH268" s="4">
        <v>5.94</v>
      </c>
      <c r="AI268" s="4">
        <v>5.35</v>
      </c>
      <c r="AJ268" s="4">
        <v>5.24</v>
      </c>
      <c r="AK268" s="4">
        <v>4.99</v>
      </c>
      <c r="AL268" s="4">
        <v>4.7699999999999996</v>
      </c>
      <c r="AM268" s="4">
        <v>4.88</v>
      </c>
      <c r="AN268" s="4">
        <v>4.92</v>
      </c>
      <c r="AO268" s="4">
        <v>4.1500000000000004</v>
      </c>
      <c r="AP268" s="4">
        <v>4.6399999999999997</v>
      </c>
      <c r="AQ268" s="4">
        <v>4.3899999999999997</v>
      </c>
      <c r="AR268" s="4">
        <v>4.41</v>
      </c>
      <c r="AS268" s="4">
        <v>4.3899999999999997</v>
      </c>
      <c r="AT268" s="4">
        <v>4.62</v>
      </c>
      <c r="AU268" s="4">
        <v>4.9400000000000004</v>
      </c>
      <c r="AV268" s="4">
        <v>4.05</v>
      </c>
      <c r="AW268" s="4">
        <v>3.99</v>
      </c>
      <c r="AX268" s="4">
        <v>4.3</v>
      </c>
      <c r="AY268" s="12">
        <v>4.4000000000000004</v>
      </c>
      <c r="AZ268" s="12">
        <v>4.66</v>
      </c>
      <c r="BA268" s="12">
        <v>4.38</v>
      </c>
      <c r="BB268" s="15">
        <v>4.53</v>
      </c>
      <c r="BC268" s="52">
        <v>4.59</v>
      </c>
      <c r="BD268" s="52">
        <v>4.33</v>
      </c>
      <c r="BE268" s="52">
        <v>4.9000000000000004</v>
      </c>
      <c r="BF268" s="52">
        <v>5.04</v>
      </c>
      <c r="BG268" s="67">
        <v>5</v>
      </c>
      <c r="BH268" s="52">
        <v>4</v>
      </c>
      <c r="BI268" s="52">
        <v>3.64</v>
      </c>
      <c r="BJ268" s="52">
        <v>3.76</v>
      </c>
      <c r="BK268" s="52">
        <v>4.03</v>
      </c>
      <c r="BL268" s="52">
        <v>3.92</v>
      </c>
      <c r="BM268" s="52">
        <v>3.87</v>
      </c>
      <c r="BN268" s="52">
        <v>3.6</v>
      </c>
      <c r="BO268" s="52" cm="1">
        <f t="array" aca="1" ref="BO268" ca="1">_FV(EC268,"Preço")</f>
        <v>3.6</v>
      </c>
      <c r="BP268" s="69" t="s">
        <v>264</v>
      </c>
      <c r="BQ268" s="36" cm="1">
        <f t="array" aca="1" ref="BQ268" ca="1">_FV(EC268,"Média de volume",TRUE)</f>
        <v>1688430</v>
      </c>
      <c r="BR268" s="36">
        <v>1667200</v>
      </c>
      <c r="BS268" s="36" cm="1">
        <f t="array" aca="1" ref="BS268" ca="1">_FV(EC268,"Volume")</f>
        <v>1667200</v>
      </c>
      <c r="BT268" s="24" cm="1">
        <f t="array" aca="1" ref="BT268" ca="1">_FV(EC268,"Beta")</f>
        <v>1.3512</v>
      </c>
      <c r="BU268" s="71" cm="1">
        <f t="array" aca="1" ref="BU268" ca="1">_FV(EC268,"Variação (%)",TRUE)</f>
        <v>1.6949000000000002E-2</v>
      </c>
      <c r="BW268" s="17" cm="1">
        <f t="array" aca="1" ref="BW268" ca="1">_FV(EC268,"Baixo")</f>
        <v>3.57</v>
      </c>
      <c r="BX268" s="17" cm="1">
        <f t="array" aca="1" ref="BX268" ca="1">_FV(EC268,"Alto")</f>
        <v>3.76</v>
      </c>
      <c r="BY268" s="24"/>
      <c r="BZ268" s="63">
        <f ca="1">SQRT(22.5*(BO268/VLOOKUP(BP268,Fundamentus!A:U,3,FALSE))*(BO268/VLOOKUP(BP268,Fundamentus!A:U,4,FALSE)))</f>
        <v>5.0806121189152069</v>
      </c>
      <c r="CB268" s="62">
        <f t="shared" ca="1" si="308"/>
        <v>0</v>
      </c>
      <c r="CC268" s="8"/>
      <c r="CD268" s="61">
        <f t="shared" si="309"/>
        <v>3.6</v>
      </c>
      <c r="CE268" s="61">
        <f t="shared" si="310"/>
        <v>11.07</v>
      </c>
      <c r="CF268" s="61">
        <f t="shared" si="311"/>
        <v>6.6822727272727258</v>
      </c>
      <c r="CG268" s="14"/>
      <c r="CH268" s="35">
        <f t="shared" si="285"/>
        <v>3.2269880548509828</v>
      </c>
      <c r="CI268" s="15">
        <f t="shared" si="312"/>
        <v>3.5199999999999818</v>
      </c>
      <c r="CJ268" s="35">
        <f t="shared" si="286"/>
        <v>3.8130119451489808</v>
      </c>
      <c r="CL268" s="14"/>
      <c r="CM268" s="17">
        <f t="shared" si="287"/>
        <v>-6.3600000000000012</v>
      </c>
      <c r="CN268" s="17">
        <f t="shared" si="288"/>
        <v>-1.3800000000000008</v>
      </c>
      <c r="CO268" s="17">
        <f t="shared" si="289"/>
        <v>1.1099999999999994</v>
      </c>
      <c r="CP268" s="38">
        <f t="shared" si="313"/>
        <v>6.09</v>
      </c>
      <c r="CQ268" s="17">
        <f t="shared" si="290"/>
        <v>8.58</v>
      </c>
      <c r="CR268" s="17">
        <f t="shared" si="291"/>
        <v>13.56</v>
      </c>
      <c r="CS268" s="17">
        <f t="shared" si="292"/>
        <v>16.05</v>
      </c>
      <c r="CT268" s="2" cm="1">
        <f t="array" aca="1" ref="CT268" ca="1">MAX(_xlfn._xlws.FILTER(CM268:CS268,CM268:CS268&lt;BO268))</f>
        <v>1.1099999999999994</v>
      </c>
      <c r="CU268" s="2" cm="1">
        <f t="array" aca="1" ref="CU268" ca="1">MIN(_xlfn._xlws.FILTER($CM268:$CS268,$CM268:$CS268&gt;BO268))</f>
        <v>6.09</v>
      </c>
      <c r="CV268" s="16">
        <f t="shared" ca="1" si="293"/>
        <v>4.4864864864864895</v>
      </c>
      <c r="CW268" s="20">
        <f t="shared" ca="1" si="294"/>
        <v>-2.2432432432432448</v>
      </c>
      <c r="CX268" s="20">
        <f t="shared" ca="1" si="295"/>
        <v>-1.4954954954954964</v>
      </c>
      <c r="CY268" s="20">
        <f t="shared" ca="1" si="296"/>
        <v>-0.8972972972972979</v>
      </c>
      <c r="CZ268" s="20">
        <f t="shared" ca="1" si="297"/>
        <v>-0.49849849849849881</v>
      </c>
      <c r="DA268" s="20">
        <f t="shared" ca="1" si="315"/>
        <v>-0.2639109697933229</v>
      </c>
      <c r="DB268" s="20">
        <f t="shared" ca="1" si="316"/>
        <v>-0.13595413595413605</v>
      </c>
      <c r="DC268" s="20">
        <f t="shared" ca="1" si="317"/>
        <v>-6.9022869022869068E-2</v>
      </c>
      <c r="DD268" s="21">
        <f t="shared" ca="1" si="318"/>
        <v>6.9022869022869068E-2</v>
      </c>
      <c r="DE268" s="21">
        <f t="shared" ca="1" si="319"/>
        <v>0.13595413595413605</v>
      </c>
      <c r="DF268" s="21">
        <f t="shared" ca="1" si="320"/>
        <v>0.2639109697933229</v>
      </c>
      <c r="DG268" s="21">
        <f t="shared" ca="1" si="298"/>
        <v>0.49849849849849881</v>
      </c>
      <c r="DH268" s="21">
        <f t="shared" ca="1" si="299"/>
        <v>0.8972972972972979</v>
      </c>
      <c r="DI268" s="21">
        <f t="shared" ca="1" si="300"/>
        <v>1.4954954954954964</v>
      </c>
      <c r="DJ268" s="21">
        <f t="shared" ca="1" si="301"/>
        <v>2.2432432432432448</v>
      </c>
      <c r="DL268" s="16" cm="1">
        <f t="array" aca="1" ref="DL268" ca="1">MAX(_xlfn._xlws.FILTER(CW268:DJ268,CW268:DJ268&lt;BU268))</f>
        <v>-6.9022869022869068E-2</v>
      </c>
      <c r="DM268" s="16" cm="1">
        <f t="array" aca="1" ref="DM268" ca="1">MIN(_xlfn._xlws.FILTER(CW268:DJ268,CW268:DJ268&gt;BU268))</f>
        <v>6.9022869022869068E-2</v>
      </c>
      <c r="DN268" s="2" cm="1">
        <f t="array" aca="1" ref="DN268" ca="1">_FV(EC268,"Fechamento anterior",TRUE)</f>
        <v>3.54</v>
      </c>
      <c r="DO268" s="28">
        <f t="shared" ca="1" si="302"/>
        <v>0.62277925260363498</v>
      </c>
      <c r="DP268" s="15">
        <f t="shared" ca="1" si="283"/>
        <v>3.2956590436590436</v>
      </c>
      <c r="DQ268" s="15">
        <f t="shared" ca="1" si="284"/>
        <v>3.7843409563409565</v>
      </c>
      <c r="DR268" s="9"/>
      <c r="DS268" s="9"/>
      <c r="DT268" s="9"/>
      <c r="DU268" s="89">
        <v>0.11076923076923065</v>
      </c>
      <c r="DV268" s="89">
        <f t="shared" ca="1" si="303"/>
        <v>0.13804573804573814</v>
      </c>
      <c r="DW268" s="72">
        <f t="shared" ca="1" si="304"/>
        <v>0.27302641180494408</v>
      </c>
      <c r="DX268" s="37"/>
      <c r="DY268" s="35">
        <f t="shared" si="314"/>
        <v>0.14650597257449957</v>
      </c>
      <c r="DZ268" s="56"/>
      <c r="EA268" s="56"/>
      <c r="EC268" s="2" t="e" vm="270">
        <v>#VALUE!</v>
      </c>
      <c r="EE268" s="10" cm="1">
        <f t="array" aca="1" ref="EE268" ca="1">_FV(EC268,"Ações em circulação",TRUE)</f>
        <v>346494100</v>
      </c>
      <c r="EF268" s="18">
        <f>VLOOKUP(BP268,Fundamentus!A:U,5,FALSE)</f>
        <v>0.749</v>
      </c>
      <c r="EG268" s="2">
        <f t="shared" ca="1" si="305"/>
        <v>1665392202.9372497</v>
      </c>
      <c r="EH268" s="17">
        <v>119242081.73030707</v>
      </c>
      <c r="EI268" s="17">
        <f t="shared" ca="1" si="306"/>
        <v>119242081.73030707</v>
      </c>
      <c r="EK268" s="16">
        <f t="shared" ca="1" si="282"/>
        <v>0</v>
      </c>
      <c r="EL268" s="32" t="str">
        <f>IF(VLOOKUP(BP268,Fundamentus!A:U,3,FALSE)&lt;15,"Bom",IF(VLOOKUP(BP268,Fundamentus!A:U,3,FALSE)&gt;15,"Ruim","n/a"))</f>
        <v>Bom</v>
      </c>
      <c r="EM268" s="28" t="str">
        <f>IF(VLOOKUP(BP268,Fundamentus!A:U,4,FALSE)&lt;1,"Baixo",IF(VLOOKUP(BP268,Fundamentus!A:U,4,FALSE)&lt;1.5,"Moderado",IF(VLOOKUP(BP268,Fundamentus!A:U,4,FALSE)&gt;1.5,"Alto","n/a")))</f>
        <v>Moderado</v>
      </c>
      <c r="EN268" s="17" t="str">
        <f>IF(VLOOKUP(BP268,Fundamentus!A:U,8,FALSE)&lt;0,"Risco elevado",IF(VLOOKUP(BP268,Fundamentus!A:U,8,FALSE)&lt;1,"Saudável",IF(VLOOKUP(BP268,Fundamentus!A:U,8,FALSE)&lt;3,"Estável",IF(VLOOKUP(BP268,Fundamentus!A:U,8,FALSE)&gt;3,"Alerta","n/a"))))</f>
        <v>Estável</v>
      </c>
      <c r="EO268" s="28" t="str">
        <f t="shared" si="307"/>
        <v>Ruim</v>
      </c>
      <c r="EP268" s="17" t="str">
        <f>IF(VLOOKUP(BP268,Fundamentus!A:U,12,FALSE)&lt;2,"Subvalorizada",IF(VLOOKUP(BP268,Fundamentus!A:U,12,FALSE)&lt;6,"Muita barata",IF(VLOOKUP(BP268,Fundamentus!A:U,12,FALSE)&lt;6,"Barata",IF(VLOOKUP(BP268,Fundamentus!A:U,12,FALSE)&lt;8,"Atrativa",IF(VLOOKUP(BP268,Fundamentus!A:U,12,FALSE)&gt;8,"Supervalorizada","n/a")))))</f>
        <v>Muita barata</v>
      </c>
      <c r="ER268" s="17" t="str">
        <f>IF(VLOOKUP(BP268,Fundamentus!A:U,17,FALSE)&lt;0.1,"Fraco retorno",IF(VLOOKUP(BP268,Fundamentus!A:U,17,FALSE)&gt;0.1,"Bom retorno","n/a"))</f>
        <v>Bom retorno</v>
      </c>
      <c r="ES268" s="17" t="str">
        <f>IF(VLOOKUP(BP268,Fundamentus!A:U,16,FALSE)&lt;0.1,"Ineficiente",IF(VLOOKUP(BP268,Fundamentus!A:U,16,FALSE)&gt;0.1,"Eficiente","n/a"))</f>
        <v>Eficiente</v>
      </c>
      <c r="ET268" s="33" t="str">
        <f>IF(VLOOKUP(BP268,Fundamentus!A:U,16,FALSE)&lt;0.1,"Oper. Ineficiente",IF(VLOOKUP(BP268,Fundamentus!A:U,16,FALSE)&gt;0.1,"Oper.Eficiente","n/a"))</f>
        <v>Oper.Eficiente</v>
      </c>
      <c r="EU268" s="34">
        <f>VLOOKUP(BP268,Fundamentus!A:U,14,FALSE)</f>
        <v>7.1599999999999997E-2</v>
      </c>
      <c r="EV268" s="17" t="str">
        <f>IF(VLOOKUP(BP268,Fundamentus!A:U,21,FALSE)&lt;0,"Negativo",IF(VLOOKUP(BP268,Fundamentus!A:U,21,FALSE)&lt;0.05,"Fraco",IF(VLOOKUP(BP268,Fundamentus!A:U,21,FALSE)&lt;0.1,"Bom",IF(VLOOKUP(BP268,Fundamentus!A:U,21,FALSE)&gt;0.1,"Muito bom","n/a"))))</f>
        <v>Muito bom</v>
      </c>
      <c r="EX268" s="29" t="str">
        <f>IF(VLOOKUP(BP268,Fundamentus!A:U,15,FALSE)&gt;1,"Bom",IF(VLOOKUP(BP268,Fundamentus!A:U,15,FALSE)&lt;1,"Ruim","n/a"))</f>
        <v>Bom</v>
      </c>
      <c r="EY268" s="17" t="str">
        <f>IF(VLOOKUP(BP268,Fundamentus!A:U,20,FALSE)&lt;0.5,"Baixa",IF(VLOOKUP(BP268,Fundamentus!A:U,20,FALSE)&lt;1,"Moderada",IF(VLOOKUP(BP268,Fundamentus!A:U,20,FALSE)&lt;2,"Alerta",IF(VLOOKUP(BP268,Fundamentus!A:U,20,FALSE)&gt;2,"Alta","n/a"))))</f>
        <v>Alerta</v>
      </c>
    </row>
    <row r="269" spans="1:155" s="5" customFormat="1" ht="11.25" x14ac:dyDescent="0.2">
      <c r="A269" s="4">
        <v>2.13</v>
      </c>
      <c r="B269" s="4">
        <v>2.12</v>
      </c>
      <c r="C269" s="4">
        <v>2.04</v>
      </c>
      <c r="D269" s="4">
        <v>2.2000000000000002</v>
      </c>
      <c r="E269" s="4">
        <v>2.38</v>
      </c>
      <c r="F269" s="4">
        <v>2.25</v>
      </c>
      <c r="G269" s="4">
        <v>2.2999999999999998</v>
      </c>
      <c r="H269" s="4">
        <v>2.2599999999999998</v>
      </c>
      <c r="I269" s="4">
        <v>1.91</v>
      </c>
      <c r="J269" s="4">
        <v>1.94</v>
      </c>
      <c r="K269" s="4">
        <v>2</v>
      </c>
      <c r="L269" s="4">
        <v>1.99</v>
      </c>
      <c r="M269" s="4">
        <v>1.96</v>
      </c>
      <c r="N269" s="4">
        <v>1.72</v>
      </c>
      <c r="O269" s="4">
        <v>1.65</v>
      </c>
      <c r="P269" s="4">
        <v>1.5</v>
      </c>
      <c r="Q269" s="4">
        <v>1.38</v>
      </c>
      <c r="R269" s="4">
        <v>1.38</v>
      </c>
      <c r="S269" s="4">
        <v>1.34</v>
      </c>
      <c r="T269" s="4">
        <v>1.39</v>
      </c>
      <c r="U269" s="4">
        <v>1.47</v>
      </c>
      <c r="V269" s="4">
        <v>1.65</v>
      </c>
      <c r="W269" s="4">
        <v>1.5</v>
      </c>
      <c r="X269" s="4">
        <v>1.51</v>
      </c>
      <c r="Y269" s="4">
        <v>1.39</v>
      </c>
      <c r="Z269" s="4">
        <v>1.35</v>
      </c>
      <c r="AA269" s="4">
        <v>1.38</v>
      </c>
      <c r="AB269" s="4">
        <v>1.33</v>
      </c>
      <c r="AC269" s="4">
        <v>1.33</v>
      </c>
      <c r="AD269" s="4">
        <v>1.3</v>
      </c>
      <c r="AE269" s="4">
        <v>1.29</v>
      </c>
      <c r="AF269" s="4">
        <v>1.19</v>
      </c>
      <c r="AG269" s="4">
        <v>1.19</v>
      </c>
      <c r="AH269" s="4">
        <v>1.1000000000000001</v>
      </c>
      <c r="AI269" s="4">
        <v>1.1100000000000001</v>
      </c>
      <c r="AJ269" s="4">
        <v>1.18</v>
      </c>
      <c r="AK269" s="4">
        <v>1.3</v>
      </c>
      <c r="AL269" s="4">
        <v>1.1399999999999999</v>
      </c>
      <c r="AM269" s="4">
        <v>1.1100000000000001</v>
      </c>
      <c r="AN269" s="4">
        <v>1.1299999999999999</v>
      </c>
      <c r="AO269" s="4">
        <v>1.1299999999999999</v>
      </c>
      <c r="AP269" s="4">
        <v>1.1399999999999999</v>
      </c>
      <c r="AQ269" s="4">
        <v>1.1200000000000001</v>
      </c>
      <c r="AR269" s="4">
        <v>1.1499999999999999</v>
      </c>
      <c r="AS269" s="4">
        <v>1.1100000000000001</v>
      </c>
      <c r="AT269" s="4">
        <v>1.1399999999999999</v>
      </c>
      <c r="AU269" s="4">
        <v>1.125</v>
      </c>
      <c r="AV269" s="4">
        <v>1.2</v>
      </c>
      <c r="AW269" s="4">
        <v>1.24</v>
      </c>
      <c r="AX269" s="4">
        <v>1.18</v>
      </c>
      <c r="AY269" s="12">
        <v>1.22</v>
      </c>
      <c r="AZ269" s="12">
        <v>1.25</v>
      </c>
      <c r="BA269" s="12">
        <v>1.26</v>
      </c>
      <c r="BB269" s="15">
        <v>1.18</v>
      </c>
      <c r="BC269" s="52">
        <v>1.2</v>
      </c>
      <c r="BD269" s="52">
        <v>1.27</v>
      </c>
      <c r="BE269" s="52">
        <v>1.26</v>
      </c>
      <c r="BF269" s="52">
        <v>1.25</v>
      </c>
      <c r="BG269" s="67">
        <v>1.19</v>
      </c>
      <c r="BH269" s="52">
        <v>1.18</v>
      </c>
      <c r="BI269" s="52">
        <v>1.17</v>
      </c>
      <c r="BJ269" s="52">
        <v>1.19</v>
      </c>
      <c r="BK269" s="52">
        <v>1.1200000000000001</v>
      </c>
      <c r="BL269" s="52">
        <v>1.1200000000000001</v>
      </c>
      <c r="BM269" s="52">
        <v>1.05</v>
      </c>
      <c r="BN269" s="52">
        <v>1.01</v>
      </c>
      <c r="BO269" s="52" cm="1">
        <f t="array" aca="1" ref="BO269" ca="1">_FV(EC269,"Preço")</f>
        <v>1.01</v>
      </c>
      <c r="BP269" s="69" t="s">
        <v>265</v>
      </c>
      <c r="BQ269" s="36" cm="1">
        <f t="array" aca="1" ref="BQ269" ca="1">_FV(EC269,"Média de volume",TRUE)</f>
        <v>15590</v>
      </c>
      <c r="BR269" s="36">
        <v>1000</v>
      </c>
      <c r="BS269" s="36" cm="1">
        <f t="array" aca="1" ref="BS269" ca="1">_FV(EC269,"Volume")</f>
        <v>1000</v>
      </c>
      <c r="BT269" s="24" cm="1">
        <f t="array" aca="1" ref="BT269" ca="1">_FV(EC269,"Beta")</f>
        <v>1.7254</v>
      </c>
      <c r="BU269" s="71" cm="1">
        <f t="array" aca="1" ref="BU269" ca="1">_FV(EC269,"Variação (%)",TRUE)</f>
        <v>-2.8845999999999997E-2</v>
      </c>
      <c r="BW269" s="17" cm="1">
        <f t="array" aca="1" ref="BW269" ca="1">_FV(EC269,"Baixo")</f>
        <v>1.01</v>
      </c>
      <c r="BX269" s="17" cm="1">
        <f t="array" aca="1" ref="BX269" ca="1">_FV(EC269,"Alto")</f>
        <v>1.03</v>
      </c>
      <c r="BY269" s="24"/>
      <c r="BZ269" s="63" t="e">
        <f ca="1">SQRT(22.5*(BO269/VLOOKUP(BP269,Fundamentus!A:U,3,FALSE))*(BO269/VLOOKUP(BP269,Fundamentus!A:U,4,FALSE)))</f>
        <v>#NUM!</v>
      </c>
      <c r="CB269" s="62">
        <f t="shared" ca="1" si="308"/>
        <v>0</v>
      </c>
      <c r="CC269" s="8"/>
      <c r="CD269" s="61">
        <f t="shared" si="309"/>
        <v>1.01</v>
      </c>
      <c r="CE269" s="61">
        <f t="shared" si="310"/>
        <v>2.38</v>
      </c>
      <c r="CF269" s="61">
        <f t="shared" si="311"/>
        <v>1.4279545454545459</v>
      </c>
      <c r="CG269" s="14"/>
      <c r="CH269" s="35">
        <f t="shared" si="285"/>
        <v>0.85016410772534801</v>
      </c>
      <c r="CI269" s="15">
        <f t="shared" si="312"/>
        <v>0.97499999999996589</v>
      </c>
      <c r="CJ269" s="35">
        <f t="shared" si="286"/>
        <v>1.0998358922745837</v>
      </c>
      <c r="CL269" s="14"/>
      <c r="CM269" s="17">
        <f t="shared" si="287"/>
        <v>-0.81666666666666665</v>
      </c>
      <c r="CN269" s="17">
        <f t="shared" si="288"/>
        <v>9.6666666666666679E-2</v>
      </c>
      <c r="CO269" s="17">
        <f t="shared" si="289"/>
        <v>0.55333333333333323</v>
      </c>
      <c r="CP269" s="38">
        <f t="shared" si="313"/>
        <v>1.4666666666666666</v>
      </c>
      <c r="CQ269" s="17">
        <f t="shared" si="290"/>
        <v>1.9233333333333331</v>
      </c>
      <c r="CR269" s="17">
        <f t="shared" si="291"/>
        <v>2.8366666666666664</v>
      </c>
      <c r="CS269" s="17">
        <f t="shared" si="292"/>
        <v>3.293333333333333</v>
      </c>
      <c r="CT269" s="2" cm="1">
        <f t="array" aca="1" ref="CT269" ca="1">MAX(_xlfn._xlws.FILTER(CM269:CS269,CM269:CS269&lt;BO269))</f>
        <v>0.55333333333333323</v>
      </c>
      <c r="CU269" s="2" cm="1">
        <f t="array" aca="1" ref="CU269" ca="1">MIN(_xlfn._xlws.FILTER($CM269:$CS269,$CM269:$CS269&gt;BO269))</f>
        <v>1.4666666666666666</v>
      </c>
      <c r="CV269" s="16">
        <f t="shared" ca="1" si="293"/>
        <v>1.6506024096385543</v>
      </c>
      <c r="CW269" s="20">
        <f t="shared" ca="1" si="294"/>
        <v>-0.82530120481927716</v>
      </c>
      <c r="CX269" s="20">
        <f t="shared" ca="1" si="295"/>
        <v>-0.55020080321285147</v>
      </c>
      <c r="CY269" s="20">
        <f t="shared" ca="1" si="296"/>
        <v>-0.33012048192771087</v>
      </c>
      <c r="CZ269" s="20">
        <f t="shared" ca="1" si="297"/>
        <v>-0.18340026773761714</v>
      </c>
      <c r="DA269" s="20">
        <f t="shared" ca="1" si="315"/>
        <v>-9.7094259390503201E-2</v>
      </c>
      <c r="DB269" s="20">
        <f t="shared" ca="1" si="316"/>
        <v>-5.0018254837531952E-2</v>
      </c>
      <c r="DC269" s="20">
        <f t="shared" ca="1" si="317"/>
        <v>-2.5393883225208528E-2</v>
      </c>
      <c r="DD269" s="21">
        <f t="shared" ca="1" si="318"/>
        <v>2.5393883225208528E-2</v>
      </c>
      <c r="DE269" s="21">
        <f t="shared" ca="1" si="319"/>
        <v>5.0018254837531952E-2</v>
      </c>
      <c r="DF269" s="21">
        <f t="shared" ca="1" si="320"/>
        <v>9.7094259390503201E-2</v>
      </c>
      <c r="DG269" s="21">
        <f t="shared" ca="1" si="298"/>
        <v>0.18340026773761714</v>
      </c>
      <c r="DH269" s="21">
        <f t="shared" ca="1" si="299"/>
        <v>0.33012048192771087</v>
      </c>
      <c r="DI269" s="21">
        <f t="shared" ca="1" si="300"/>
        <v>0.55020080321285147</v>
      </c>
      <c r="DJ269" s="21">
        <f t="shared" ca="1" si="301"/>
        <v>0.82530120481927716</v>
      </c>
      <c r="DL269" s="16" cm="1">
        <f t="array" aca="1" ref="DL269" ca="1">MAX(_xlfn._xlws.FILTER(CW269:DJ269,CW269:DJ269&lt;BU269))</f>
        <v>-5.0018254837531952E-2</v>
      </c>
      <c r="DM269" s="16" cm="1">
        <f t="array" aca="1" ref="DM269" ca="1">MIN(_xlfn._xlws.FILTER(CW269:DJ269,CW269:DJ269&gt;BU269))</f>
        <v>-2.5393883225208528E-2</v>
      </c>
      <c r="DN269" s="2" cm="1">
        <f t="array" aca="1" ref="DN269" ca="1">_FV(EC269,"Fechamento anterior",TRUE)</f>
        <v>1.04</v>
      </c>
      <c r="DO269" s="28">
        <f t="shared" ca="1" si="302"/>
        <v>0.85980269160584144</v>
      </c>
      <c r="DP269" s="15">
        <f t="shared" ca="1" si="283"/>
        <v>0.98798101496896684</v>
      </c>
      <c r="DQ269" s="15">
        <f t="shared" ca="1" si="284"/>
        <v>1.0135903614457831</v>
      </c>
      <c r="DR269" s="9"/>
      <c r="DS269" s="9"/>
      <c r="DT269" s="9"/>
      <c r="DU269" s="89">
        <v>4.0659340659340654E-2</v>
      </c>
      <c r="DV269" s="89">
        <f t="shared" ca="1" si="303"/>
        <v>2.4624371612323424E-2</v>
      </c>
      <c r="DW269" s="72">
        <f t="shared" ca="1" si="304"/>
        <v>0.28036808454927387</v>
      </c>
      <c r="DX269" s="37"/>
      <c r="DY269" s="35">
        <f t="shared" si="314"/>
        <v>6.241794613730893E-2</v>
      </c>
      <c r="DZ269" s="56"/>
      <c r="EA269" s="56"/>
      <c r="EC269" s="5" t="e" vm="271">
        <v>#VALUE!</v>
      </c>
      <c r="EE269" s="10" cm="1">
        <f t="array" aca="1" ref="EE269" ca="1">_FV(EC269,"Ações em circulação",TRUE)</f>
        <v>26710360</v>
      </c>
      <c r="EF269" s="18">
        <f>VLOOKUP(BP269,Fundamentus!A:U,5,FALSE)</f>
        <v>8.5000000000000006E-2</v>
      </c>
      <c r="EG269" s="2">
        <f t="shared" ca="1" si="305"/>
        <v>317381924.70588237</v>
      </c>
      <c r="EH269" s="17">
        <v>-130570923.824</v>
      </c>
      <c r="EI269" s="17">
        <f t="shared" ca="1" si="306"/>
        <v>-130570923.824</v>
      </c>
      <c r="EJ269" s="2"/>
      <c r="EK269" s="16">
        <f t="shared" ca="1" si="282"/>
        <v>0</v>
      </c>
      <c r="EL269" s="32" t="str">
        <f>IF(VLOOKUP(BP269,Fundamentus!A:U,3,FALSE)&lt;15,"Bom",IF(VLOOKUP(BP269,Fundamentus!A:U,3,FALSE)&gt;15,"Ruim","n/a"))</f>
        <v>Bom</v>
      </c>
      <c r="EM269" s="28" t="str">
        <f>IF(VLOOKUP(BP269,Fundamentus!A:U,4,FALSE)&lt;1,"Baixo",IF(VLOOKUP(BP269,Fundamentus!A:U,4,FALSE)&lt;1.5,"Moderado",IF(VLOOKUP(BP269,Fundamentus!A:U,4,FALSE)&gt;1.5,"Alto","n/a")))</f>
        <v>Baixo</v>
      </c>
      <c r="EN269" s="17" t="str">
        <f>IF(VLOOKUP(BP269,Fundamentus!A:U,8,FALSE)&lt;0,"Risco elevado",IF(VLOOKUP(BP269,Fundamentus!A:U,8,FALSE)&lt;1,"Saudável",IF(VLOOKUP(BP269,Fundamentus!A:U,8,FALSE)&lt;3,"Estável",IF(VLOOKUP(BP269,Fundamentus!A:U,8,FALSE)&gt;3,"Alerta","n/a"))))</f>
        <v>Risco elevado</v>
      </c>
      <c r="EO269" s="28" t="str">
        <f t="shared" si="307"/>
        <v>Ruim</v>
      </c>
      <c r="EP269" s="17" t="str">
        <f>IF(VLOOKUP(BP269,Fundamentus!A:U,12,FALSE)&lt;2,"Subvalorizada",IF(VLOOKUP(BP269,Fundamentus!A:U,12,FALSE)&lt;6,"Muita barata",IF(VLOOKUP(BP269,Fundamentus!A:U,12,FALSE)&lt;6,"Barata",IF(VLOOKUP(BP269,Fundamentus!A:U,12,FALSE)&lt;8,"Atrativa",IF(VLOOKUP(BP269,Fundamentus!A:U,12,FALSE)&gt;8,"Supervalorizada","n/a")))))</f>
        <v>Subvalorizada</v>
      </c>
      <c r="EQ269" s="2"/>
      <c r="ER269" s="17" t="str">
        <f>IF(VLOOKUP(BP269,Fundamentus!A:U,17,FALSE)&lt;0.1,"Fraco retorno",IF(VLOOKUP(BP269,Fundamentus!A:U,17,FALSE)&gt;0.1,"Bom retorno","n/a"))</f>
        <v>Fraco retorno</v>
      </c>
      <c r="ES269" s="17" t="str">
        <f>IF(VLOOKUP(BP269,Fundamentus!A:U,16,FALSE)&lt;0.1,"Ineficiente",IF(VLOOKUP(BP269,Fundamentus!A:U,16,FALSE)&gt;0.1,"Eficiente","n/a"))</f>
        <v>Ineficiente</v>
      </c>
      <c r="ET269" s="33" t="str">
        <f>IF(VLOOKUP(BP269,Fundamentus!A:U,16,FALSE)&lt;0.1,"Oper. Ineficiente",IF(VLOOKUP(BP269,Fundamentus!A:U,16,FALSE)&gt;0.1,"Oper.Eficiente","n/a"))</f>
        <v>Oper. Ineficiente</v>
      </c>
      <c r="EU269" s="34">
        <f>VLOOKUP(BP269,Fundamentus!A:U,14,FALSE)</f>
        <v>-0.41139999999999999</v>
      </c>
      <c r="EV269" s="17" t="str">
        <f>IF(VLOOKUP(BP269,Fundamentus!A:U,21,FALSE)&lt;0,"Negativo",IF(VLOOKUP(BP269,Fundamentus!A:U,21,FALSE)&lt;0.05,"Fraco",IF(VLOOKUP(BP269,Fundamentus!A:U,21,FALSE)&lt;0.1,"Bom",IF(VLOOKUP(BP269,Fundamentus!A:U,21,FALSE)&gt;0.1,"Muito bom","n/a"))))</f>
        <v>Negativo</v>
      </c>
      <c r="EX269" s="29" t="str">
        <f>IF(VLOOKUP(BP269,Fundamentus!A:U,15,FALSE)&gt;1,"Bom",IF(VLOOKUP(BP269,Fundamentus!A:U,15,FALSE)&lt;1,"Ruim","n/a"))</f>
        <v>Ruim</v>
      </c>
      <c r="EY269" s="17" t="str">
        <f>IF(VLOOKUP(BP269,Fundamentus!A:U,20,FALSE)&lt;0.5,"Baixa",IF(VLOOKUP(BP269,Fundamentus!A:U,20,FALSE)&lt;1,"Moderada",IF(VLOOKUP(BP269,Fundamentus!A:U,20,FALSE)&lt;2,"Alerta",IF(VLOOKUP(BP269,Fundamentus!A:U,20,FALSE)&gt;2,"Alta","n/a"))))</f>
        <v>Alta</v>
      </c>
    </row>
    <row r="270" spans="1:155" s="2" customFormat="1" ht="11.25" x14ac:dyDescent="0.2">
      <c r="A270" s="4">
        <v>5.59</v>
      </c>
      <c r="B270" s="4">
        <v>5.59</v>
      </c>
      <c r="C270" s="4">
        <v>5.58</v>
      </c>
      <c r="D270" s="4">
        <v>5.56</v>
      </c>
      <c r="E270" s="4">
        <v>5.6</v>
      </c>
      <c r="F270" s="4">
        <v>5.64</v>
      </c>
      <c r="G270" s="4">
        <v>5.64</v>
      </c>
      <c r="H270" s="4">
        <v>5.64</v>
      </c>
      <c r="I270" s="4">
        <v>5.63</v>
      </c>
      <c r="J270" s="4">
        <v>5.68</v>
      </c>
      <c r="K270" s="4">
        <v>5.73</v>
      </c>
      <c r="L270" s="4">
        <v>5.75</v>
      </c>
      <c r="M270" s="4">
        <v>5.76</v>
      </c>
      <c r="N270" s="4">
        <v>5.78</v>
      </c>
      <c r="O270" s="4">
        <v>5.79</v>
      </c>
      <c r="P270" s="4">
        <v>5.82</v>
      </c>
      <c r="Q270" s="4">
        <v>5.83</v>
      </c>
      <c r="R270" s="4">
        <v>5.83</v>
      </c>
      <c r="S270" s="4">
        <v>5.83</v>
      </c>
      <c r="T270" s="4">
        <v>5.83</v>
      </c>
      <c r="U270" s="4">
        <v>5.83</v>
      </c>
      <c r="V270" s="4">
        <v>5.83</v>
      </c>
      <c r="W270" s="4">
        <v>5.83</v>
      </c>
      <c r="X270" s="4">
        <v>5.83</v>
      </c>
      <c r="Y270" s="4">
        <v>5.83</v>
      </c>
      <c r="Z270" s="4">
        <v>5.83</v>
      </c>
      <c r="AA270" s="4">
        <v>5.83</v>
      </c>
      <c r="AB270" s="4">
        <v>5.83</v>
      </c>
      <c r="AC270" s="4">
        <v>5.83</v>
      </c>
      <c r="AD270" s="4">
        <v>5.83</v>
      </c>
      <c r="AE270" s="4">
        <v>5.83</v>
      </c>
      <c r="AF270" s="4">
        <v>5.83</v>
      </c>
      <c r="AG270" s="4">
        <v>5.83</v>
      </c>
      <c r="AH270" s="4" t="e">
        <v>#N/A</v>
      </c>
      <c r="AI270" s="4">
        <v>5.83</v>
      </c>
      <c r="AJ270" s="4">
        <v>5.83</v>
      </c>
      <c r="AK270" s="4">
        <v>5.83</v>
      </c>
      <c r="AL270" s="4">
        <v>5.83</v>
      </c>
      <c r="AM270" s="4">
        <v>5.83</v>
      </c>
      <c r="AN270" s="4">
        <v>5.83</v>
      </c>
      <c r="AO270" s="4">
        <v>5.83</v>
      </c>
      <c r="AP270" s="4">
        <v>5.83</v>
      </c>
      <c r="AQ270" s="4">
        <v>5.83</v>
      </c>
      <c r="AR270" s="4">
        <v>5.83</v>
      </c>
      <c r="AS270" s="4">
        <v>5.83</v>
      </c>
      <c r="AT270" s="4">
        <v>5.83</v>
      </c>
      <c r="AU270" s="4">
        <v>5.8250000000000002</v>
      </c>
      <c r="AV270" s="4">
        <v>5.83</v>
      </c>
      <c r="AW270" s="4">
        <v>5.83</v>
      </c>
      <c r="AX270" s="4">
        <v>5.83</v>
      </c>
      <c r="AY270" s="12">
        <v>5.83</v>
      </c>
      <c r="AZ270" s="12">
        <v>5.83</v>
      </c>
      <c r="BA270" s="12">
        <v>5.83</v>
      </c>
      <c r="BB270" s="15" t="e" vm="272">
        <v>#VALUE!</v>
      </c>
      <c r="BC270" s="52" t="e" vm="272">
        <v>#VALUE!</v>
      </c>
      <c r="BD270" s="52" t="e" vm="272">
        <v>#VALUE!</v>
      </c>
      <c r="BE270" s="52" t="e" vm="272">
        <v>#VALUE!</v>
      </c>
      <c r="BF270" s="52" t="e" vm="272">
        <v>#VALUE!</v>
      </c>
      <c r="BG270" s="67" t="e" vm="272">
        <v>#VALUE!</v>
      </c>
      <c r="BH270" s="52" t="e" vm="272">
        <v>#VALUE!</v>
      </c>
      <c r="BI270" s="52" t="e" vm="272">
        <v>#VALUE!</v>
      </c>
      <c r="BJ270" s="52" t="e" vm="272">
        <v>#VALUE!</v>
      </c>
      <c r="BK270" s="52" t="e" vm="272">
        <v>#VALUE!</v>
      </c>
      <c r="BL270" s="52" t="e" vm="272">
        <v>#VALUE!</v>
      </c>
      <c r="BM270" s="52" t="e" vm="272">
        <v>#VALUE!</v>
      </c>
      <c r="BN270" s="52" t="e" vm="272">
        <v>#VALUE!</v>
      </c>
      <c r="BO270" s="52" t="e" cm="1" vm="272">
        <f t="array" ref="BO270">_FV(EC270,"Preço")</f>
        <v>#VALUE!</v>
      </c>
      <c r="BP270" s="69" t="s">
        <v>266</v>
      </c>
      <c r="BQ270" s="36" t="e" cm="1" vm="3">
        <f t="array" ref="BQ270">_FV(EC270,"Média de volume",TRUE)</f>
        <v>#VALUE!</v>
      </c>
      <c r="BR270" s="36" t="e" vm="273">
        <v>#VALUE!</v>
      </c>
      <c r="BS270" s="36" t="e" cm="1" vm="273">
        <f t="array" ref="BS270">_FV(EC270,"Volume")</f>
        <v>#VALUE!</v>
      </c>
      <c r="BT270" s="24" t="e" cm="1" vm="137">
        <f t="array" ref="BT270">_FV(EC270,"Beta")</f>
        <v>#VALUE!</v>
      </c>
      <c r="BU270" s="71" t="e" cm="1" vm="274">
        <f t="array" ref="BU270">_FV(EC270,"Variação (%)",TRUE)</f>
        <v>#VALUE!</v>
      </c>
      <c r="BW270" s="17" t="e" cm="1" vm="275">
        <f t="array" ref="BW270">_FV(EC270,"Baixo")</f>
        <v>#VALUE!</v>
      </c>
      <c r="BX270" s="17" t="e" cm="1" vm="276">
        <f t="array" ref="BX270">_FV(EC270,"Alto")</f>
        <v>#VALUE!</v>
      </c>
      <c r="BY270" s="24"/>
      <c r="BZ270" s="63" t="e" vm="152">
        <f>SQRT(22.5*(BO270/VLOOKUP(BP270,Fundamentus!A:U,3,FALSE))*(BO270/VLOOKUP(BP270,Fundamentus!A:U,4,FALSE)))</f>
        <v>#VALUE!</v>
      </c>
      <c r="CB270" s="62" t="e" vm="152">
        <f t="shared" si="308"/>
        <v>#VALUE!</v>
      </c>
      <c r="CC270" s="8"/>
      <c r="CD270" s="61" t="e">
        <f t="shared" si="309"/>
        <v>#N/A</v>
      </c>
      <c r="CE270" s="61" t="e">
        <f t="shared" si="310"/>
        <v>#N/A</v>
      </c>
      <c r="CF270" s="61" t="e">
        <f t="shared" si="311"/>
        <v>#N/A</v>
      </c>
      <c r="CG270" s="14"/>
      <c r="CH270" s="35" t="e">
        <f t="shared" si="285"/>
        <v>#VALUE!</v>
      </c>
      <c r="CI270" s="15" t="e">
        <f t="shared" si="312"/>
        <v>#VALUE!</v>
      </c>
      <c r="CJ270" s="35" t="e">
        <f t="shared" si="286"/>
        <v>#VALUE!</v>
      </c>
      <c r="CL270" s="14"/>
      <c r="CM270" s="17" t="e">
        <f t="shared" si="287"/>
        <v>#N/A</v>
      </c>
      <c r="CN270" s="17" t="e">
        <f t="shared" si="288"/>
        <v>#N/A</v>
      </c>
      <c r="CO270" s="17" t="e">
        <f t="shared" si="289"/>
        <v>#N/A</v>
      </c>
      <c r="CP270" s="38" t="e">
        <f t="shared" si="313"/>
        <v>#N/A</v>
      </c>
      <c r="CQ270" s="17" t="e">
        <f t="shared" si="290"/>
        <v>#N/A</v>
      </c>
      <c r="CR270" s="17" t="e">
        <f t="shared" si="291"/>
        <v>#N/A</v>
      </c>
      <c r="CS270" s="17" t="e">
        <f t="shared" si="292"/>
        <v>#N/A</v>
      </c>
      <c r="CT270" s="2" t="e" cm="1">
        <f t="array" ref="CT270">MAX(_xlfn._xlws.FILTER(CM270:CS270,CM270:CS270&lt;BO270))</f>
        <v>#N/A</v>
      </c>
      <c r="CU270" s="2" t="e" cm="1">
        <f t="array" ref="CU270">MIN(_xlfn._xlws.FILTER($CM270:$CS270,$CM270:$CS270&gt;BO270))</f>
        <v>#N/A</v>
      </c>
      <c r="CV270" s="16" t="e">
        <f t="shared" si="293"/>
        <v>#N/A</v>
      </c>
      <c r="CW270" s="20" t="e">
        <f t="shared" si="294"/>
        <v>#N/A</v>
      </c>
      <c r="CX270" s="20" t="e">
        <f t="shared" si="295"/>
        <v>#N/A</v>
      </c>
      <c r="CY270" s="20" t="e">
        <f t="shared" si="296"/>
        <v>#N/A</v>
      </c>
      <c r="CZ270" s="20" t="e">
        <f t="shared" si="297"/>
        <v>#N/A</v>
      </c>
      <c r="DA270" s="20" t="e">
        <f t="shared" si="315"/>
        <v>#N/A</v>
      </c>
      <c r="DB270" s="20" t="e">
        <f t="shared" si="316"/>
        <v>#N/A</v>
      </c>
      <c r="DC270" s="20" t="e">
        <f t="shared" si="317"/>
        <v>#N/A</v>
      </c>
      <c r="DD270" s="21" t="e">
        <f t="shared" si="318"/>
        <v>#N/A</v>
      </c>
      <c r="DE270" s="21" t="e">
        <f t="shared" si="319"/>
        <v>#N/A</v>
      </c>
      <c r="DF270" s="21" t="e">
        <f t="shared" si="320"/>
        <v>#N/A</v>
      </c>
      <c r="DG270" s="21" t="e">
        <f t="shared" si="298"/>
        <v>#N/A</v>
      </c>
      <c r="DH270" s="21" t="e">
        <f t="shared" si="299"/>
        <v>#N/A</v>
      </c>
      <c r="DI270" s="21" t="e">
        <f t="shared" si="300"/>
        <v>#N/A</v>
      </c>
      <c r="DJ270" s="21" t="e">
        <f t="shared" si="301"/>
        <v>#N/A</v>
      </c>
      <c r="DL270" s="16" t="e" cm="1">
        <f t="array" ref="DL270">MAX(_xlfn._xlws.FILTER(CW270:DJ270,CW270:DJ270&lt;BU270))</f>
        <v>#N/A</v>
      </c>
      <c r="DM270" s="16" t="e" cm="1">
        <f t="array" ref="DM270">MIN(_xlfn._xlws.FILTER(CW270:DJ270,CW270:DJ270&gt;BU270))</f>
        <v>#N/A</v>
      </c>
      <c r="DN270" s="2" t="e" cm="1" vm="277">
        <f t="array" ref="DN270">_FV(EC270,"Fechamento anterior",TRUE)</f>
        <v>#VALUE!</v>
      </c>
      <c r="DO270" s="28" t="e" vm="152">
        <f t="shared" si="302"/>
        <v>#VALUE!</v>
      </c>
      <c r="DP270" s="15" t="e" vm="152">
        <f t="shared" si="283"/>
        <v>#VALUE!</v>
      </c>
      <c r="DQ270" s="15" t="e" vm="152">
        <f t="shared" si="284"/>
        <v>#VALUE!</v>
      </c>
      <c r="DR270" s="9"/>
      <c r="DS270" s="9"/>
      <c r="DT270" s="9"/>
      <c r="DU270" s="89" t="e">
        <v>#N/A</v>
      </c>
      <c r="DV270" s="89" t="e">
        <f t="shared" si="303"/>
        <v>#N/A</v>
      </c>
      <c r="DW270" s="72" t="e" vm="152">
        <f t="shared" si="304"/>
        <v>#VALUE!</v>
      </c>
      <c r="DX270" s="37"/>
      <c r="DY270" s="35" t="e" vm="152">
        <f t="shared" si="314"/>
        <v>#VALUE!</v>
      </c>
      <c r="DZ270" s="56"/>
      <c r="EA270" s="56"/>
      <c r="EC270" s="2" t="s">
        <v>266</v>
      </c>
      <c r="EE270" s="10" t="e" cm="1" vm="151">
        <f t="array" ref="EE270">_FV(EC270,"Ações em circulação",TRUE)</f>
        <v>#VALUE!</v>
      </c>
      <c r="EF270" s="18" t="e">
        <f>VLOOKUP(BP270,Fundamentus!A:U,5,FALSE)</f>
        <v>#N/A</v>
      </c>
      <c r="EG270" s="2" t="e" vm="152">
        <f t="shared" si="305"/>
        <v>#VALUE!</v>
      </c>
      <c r="EH270" s="17" t="e" vm="152">
        <v>#VALUE!</v>
      </c>
      <c r="EI270" s="17" t="e" vm="152">
        <f t="shared" si="306"/>
        <v>#VALUE!</v>
      </c>
      <c r="EK270" s="16" t="e" vm="152">
        <f t="shared" si="282"/>
        <v>#VALUE!</v>
      </c>
      <c r="EL270" s="32" t="e">
        <f>IF(VLOOKUP(BP270,Fundamentus!A:U,3,FALSE)&lt;15,"Bom",IF(VLOOKUP(BP270,Fundamentus!A:U,3,FALSE)&gt;15,"Ruim","n/a"))</f>
        <v>#N/A</v>
      </c>
      <c r="EM270" s="28" t="e">
        <f>IF(VLOOKUP(BP270,Fundamentus!A:U,4,FALSE)&lt;1,"Baixo",IF(VLOOKUP(BP270,Fundamentus!A:U,4,FALSE)&lt;1.5,"Moderado",IF(VLOOKUP(BP270,Fundamentus!A:U,4,FALSE)&gt;1.5,"Alto","n/a")))</f>
        <v>#N/A</v>
      </c>
      <c r="EN270" s="17" t="e">
        <f>IF(VLOOKUP(BP270,Fundamentus!A:U,8,FALSE)&lt;0,"Risco elevado",IF(VLOOKUP(BP270,Fundamentus!A:U,8,FALSE)&lt;1,"Saudável",IF(VLOOKUP(BP270,Fundamentus!A:U,8,FALSE)&lt;3,"Estável",IF(VLOOKUP(BP270,Fundamentus!A:U,8,FALSE)&gt;3,"Alerta","n/a"))))</f>
        <v>#N/A</v>
      </c>
      <c r="EO270" s="28" t="e">
        <f t="shared" si="307"/>
        <v>#N/A</v>
      </c>
      <c r="EP270" s="17" t="e">
        <f>IF(VLOOKUP(BP270,Fundamentus!A:U,12,FALSE)&lt;2,"Subvalorizada",IF(VLOOKUP(BP270,Fundamentus!A:U,12,FALSE)&lt;6,"Muita barata",IF(VLOOKUP(BP270,Fundamentus!A:U,12,FALSE)&lt;6,"Barata",IF(VLOOKUP(BP270,Fundamentus!A:U,12,FALSE)&lt;8,"Atrativa",IF(VLOOKUP(BP270,Fundamentus!A:U,12,FALSE)&gt;8,"Supervalorizada","n/a")))))</f>
        <v>#N/A</v>
      </c>
      <c r="ER270" s="17" t="e">
        <f>IF(VLOOKUP(BP270,Fundamentus!A:U,17,FALSE)&lt;0.1,"Fraco retorno",IF(VLOOKUP(BP270,Fundamentus!A:U,17,FALSE)&gt;0.1,"Bom retorno","n/a"))</f>
        <v>#N/A</v>
      </c>
      <c r="ES270" s="17" t="e">
        <f>IF(VLOOKUP(BP270,Fundamentus!A:U,16,FALSE)&lt;0.1,"Ineficiente",IF(VLOOKUP(BP270,Fundamentus!A:U,16,FALSE)&gt;0.1,"Eficiente","n/a"))</f>
        <v>#N/A</v>
      </c>
      <c r="ET270" s="33" t="e">
        <f>IF(VLOOKUP(BP270,Fundamentus!A:U,16,FALSE)&lt;0.1,"Oper. Ineficiente",IF(VLOOKUP(BP270,Fundamentus!A:U,16,FALSE)&gt;0.1,"Oper.Eficiente","n/a"))</f>
        <v>#N/A</v>
      </c>
      <c r="EU270" s="34" t="e">
        <f>VLOOKUP(BP270,Fundamentus!A:U,14,FALSE)</f>
        <v>#N/A</v>
      </c>
      <c r="EV270" s="17" t="e">
        <f>IF(VLOOKUP(BP270,Fundamentus!A:U,21,FALSE)&lt;0,"Negativo",IF(VLOOKUP(BP270,Fundamentus!A:U,21,FALSE)&lt;0.05,"Fraco",IF(VLOOKUP(BP270,Fundamentus!A:U,21,FALSE)&lt;0.1,"Bom",IF(VLOOKUP(BP270,Fundamentus!A:U,21,FALSE)&gt;0.1,"Muito bom","n/a"))))</f>
        <v>#N/A</v>
      </c>
      <c r="EX270" s="29" t="e">
        <f>IF(VLOOKUP(BP270,Fundamentus!A:U,15,FALSE)&gt;1,"Bom",IF(VLOOKUP(BP270,Fundamentus!A:U,15,FALSE)&lt;1,"Ruim","n/a"))</f>
        <v>#N/A</v>
      </c>
      <c r="EY270" s="17" t="e">
        <f>IF(VLOOKUP(BP270,Fundamentus!A:U,20,FALSE)&lt;0.5,"Baixa",IF(VLOOKUP(BP270,Fundamentus!A:U,20,FALSE)&lt;1,"Moderada",IF(VLOOKUP(BP270,Fundamentus!A:U,20,FALSE)&lt;2,"Alerta",IF(VLOOKUP(BP270,Fundamentus!A:U,20,FALSE)&gt;2,"Alta","n/a"))))</f>
        <v>#N/A</v>
      </c>
    </row>
    <row r="271" spans="1:155" s="2" customFormat="1" ht="11.25" x14ac:dyDescent="0.2">
      <c r="A271" s="4">
        <v>12.17</v>
      </c>
      <c r="B271" s="4">
        <v>11.6</v>
      </c>
      <c r="C271" s="4">
        <v>11.59</v>
      </c>
      <c r="D271" s="4">
        <v>11.7</v>
      </c>
      <c r="E271" s="4">
        <v>11.41</v>
      </c>
      <c r="F271" s="4">
        <v>11.21</v>
      </c>
      <c r="G271" s="4">
        <v>11.08</v>
      </c>
      <c r="H271" s="4">
        <v>11.19</v>
      </c>
      <c r="I271" s="4">
        <v>11.3</v>
      </c>
      <c r="J271" s="4">
        <v>11.48</v>
      </c>
      <c r="K271" s="4">
        <v>11.64</v>
      </c>
      <c r="L271" s="4">
        <v>11.29</v>
      </c>
      <c r="M271" s="4">
        <v>11.22</v>
      </c>
      <c r="N271" s="4">
        <v>11.48</v>
      </c>
      <c r="O271" s="4">
        <v>11.69</v>
      </c>
      <c r="P271" s="4">
        <v>11.55</v>
      </c>
      <c r="Q271" s="4">
        <v>11.84</v>
      </c>
      <c r="R271" s="4">
        <v>11.77</v>
      </c>
      <c r="S271" s="4">
        <v>11.96</v>
      </c>
      <c r="T271" s="4">
        <v>11.75</v>
      </c>
      <c r="U271" s="4">
        <v>11.47</v>
      </c>
      <c r="V271" s="4">
        <v>11.37</v>
      </c>
      <c r="W271" s="4">
        <v>11.41</v>
      </c>
      <c r="X271" s="4">
        <v>11.44</v>
      </c>
      <c r="Y271" s="4">
        <v>11.41</v>
      </c>
      <c r="Z271" s="4">
        <v>11.42</v>
      </c>
      <c r="AA271" s="4">
        <v>11.48</v>
      </c>
      <c r="AB271" s="4">
        <v>11.68</v>
      </c>
      <c r="AC271" s="4">
        <v>11.29</v>
      </c>
      <c r="AD271" s="4">
        <v>11.36</v>
      </c>
      <c r="AE271" s="4">
        <v>11.4</v>
      </c>
      <c r="AF271" s="4">
        <v>11.49</v>
      </c>
      <c r="AG271" s="4">
        <v>11.3</v>
      </c>
      <c r="AH271" s="4">
        <v>10.88</v>
      </c>
      <c r="AI271" s="4">
        <v>11.08</v>
      </c>
      <c r="AJ271" s="4">
        <v>10.7</v>
      </c>
      <c r="AK271" s="4">
        <v>10.83</v>
      </c>
      <c r="AL271" s="4">
        <v>10.9</v>
      </c>
      <c r="AM271" s="4">
        <v>10.72</v>
      </c>
      <c r="AN271" s="4">
        <v>11.1</v>
      </c>
      <c r="AO271" s="4">
        <v>10.99</v>
      </c>
      <c r="AP271" s="4">
        <v>11.04</v>
      </c>
      <c r="AQ271" s="4">
        <v>10.91</v>
      </c>
      <c r="AR271" s="4">
        <v>10.94</v>
      </c>
      <c r="AS271" s="4">
        <v>11.08</v>
      </c>
      <c r="AT271" s="4">
        <v>11.35</v>
      </c>
      <c r="AU271" s="4">
        <v>11.515000000000001</v>
      </c>
      <c r="AV271" s="4">
        <v>11.34</v>
      </c>
      <c r="AW271" s="4">
        <v>11.4</v>
      </c>
      <c r="AX271" s="4">
        <v>11.3</v>
      </c>
      <c r="AY271" s="12">
        <v>11.44</v>
      </c>
      <c r="AZ271" s="12">
        <v>12</v>
      </c>
      <c r="BA271" s="12">
        <v>11.95</v>
      </c>
      <c r="BB271" s="15">
        <v>11.94</v>
      </c>
      <c r="BC271" s="52">
        <v>11.74</v>
      </c>
      <c r="BD271" s="52">
        <v>11.72</v>
      </c>
      <c r="BE271" s="52">
        <v>11.74</v>
      </c>
      <c r="BF271" s="52">
        <v>11.48</v>
      </c>
      <c r="BG271" s="67">
        <v>11.34</v>
      </c>
      <c r="BH271" s="52">
        <v>11.41</v>
      </c>
      <c r="BI271" s="52">
        <v>11.44</v>
      </c>
      <c r="BJ271" s="52">
        <v>11.62</v>
      </c>
      <c r="BK271" s="52">
        <v>11.3</v>
      </c>
      <c r="BL271" s="52">
        <v>11.17</v>
      </c>
      <c r="BM271" s="52">
        <v>11.05</v>
      </c>
      <c r="BN271" s="52">
        <v>11.12</v>
      </c>
      <c r="BO271" s="52" cm="1">
        <f t="array" aca="1" ref="BO271" ca="1">_FV(EC271,"Preço")</f>
        <v>11.12</v>
      </c>
      <c r="BP271" s="69" t="s">
        <v>267</v>
      </c>
      <c r="BQ271" s="36" cm="1">
        <f t="array" aca="1" ref="BQ271" ca="1">_FV(EC271,"Média de volume",TRUE)</f>
        <v>1124670</v>
      </c>
      <c r="BR271" s="36">
        <v>64700</v>
      </c>
      <c r="BS271" s="36" cm="1">
        <f t="array" aca="1" ref="BS271" ca="1">_FV(EC271,"Volume")</f>
        <v>64700</v>
      </c>
      <c r="BT271" s="24" cm="1">
        <f t="array" aca="1" ref="BT271" ca="1">_FV(EC271,"Beta")</f>
        <v>0.71450000000000002</v>
      </c>
      <c r="BU271" s="71" cm="1">
        <f t="array" aca="1" ref="BU271" ca="1">_FV(EC271,"Variação (%)",TRUE)</f>
        <v>2.7050000000000004E-3</v>
      </c>
      <c r="BW271" s="17" cm="1">
        <f t="array" aca="1" ref="BW271" ca="1">_FV(EC271,"Baixo")</f>
        <v>11.06</v>
      </c>
      <c r="BX271" s="17" cm="1">
        <f t="array" aca="1" ref="BX271" ca="1">_FV(EC271,"Alto")</f>
        <v>11.28</v>
      </c>
      <c r="BY271" s="24"/>
      <c r="BZ271" s="63">
        <f ca="1">SQRT(22.5*(BO271/VLOOKUP(BP271,Fundamentus!A:U,3,FALSE))*(BO271/VLOOKUP(BP271,Fundamentus!A:U,4,FALSE)))</f>
        <v>15.936313814109017</v>
      </c>
      <c r="CB271" s="62">
        <f t="shared" ca="1" si="308"/>
        <v>0</v>
      </c>
      <c r="CC271" s="8"/>
      <c r="CD271" s="61">
        <f t="shared" si="309"/>
        <v>10.7</v>
      </c>
      <c r="CE271" s="61">
        <f t="shared" si="310"/>
        <v>12.17</v>
      </c>
      <c r="CF271" s="61">
        <f t="shared" si="311"/>
        <v>11.39356060606061</v>
      </c>
      <c r="CG271" s="14"/>
      <c r="CH271" s="35">
        <f t="shared" si="285"/>
        <v>10.592328918346505</v>
      </c>
      <c r="CI271" s="15">
        <f t="shared" si="312"/>
        <v>10.995000000000005</v>
      </c>
      <c r="CJ271" s="35">
        <f t="shared" si="286"/>
        <v>11.397671081653504</v>
      </c>
      <c r="CL271" s="14"/>
      <c r="CM271" s="17">
        <f t="shared" si="287"/>
        <v>9.019999999999996</v>
      </c>
      <c r="CN271" s="17">
        <f t="shared" si="288"/>
        <v>9.8599999999999977</v>
      </c>
      <c r="CO271" s="17">
        <f t="shared" si="289"/>
        <v>10.489999999999997</v>
      </c>
      <c r="CP271" s="38">
        <f t="shared" si="313"/>
        <v>11.329999999999998</v>
      </c>
      <c r="CQ271" s="17">
        <f t="shared" si="290"/>
        <v>11.959999999999997</v>
      </c>
      <c r="CR271" s="17">
        <f t="shared" si="291"/>
        <v>12.799999999999999</v>
      </c>
      <c r="CS271" s="17">
        <f t="shared" si="292"/>
        <v>13.429999999999998</v>
      </c>
      <c r="CT271" s="2" cm="1">
        <f t="array" aca="1" ref="CT271" ca="1">MAX(_xlfn._xlws.FILTER(CM271:CS271,CM271:CS271&lt;BO271))</f>
        <v>10.489999999999997</v>
      </c>
      <c r="CU271" s="2" cm="1">
        <f t="array" aca="1" ref="CU271" ca="1">MIN(_xlfn._xlws.FILTER($CM271:$CS271,$CM271:$CS271&gt;BO271))</f>
        <v>11.329999999999998</v>
      </c>
      <c r="CV271" s="16">
        <f t="shared" ca="1" si="293"/>
        <v>8.0076263107721868E-2</v>
      </c>
      <c r="CW271" s="20">
        <f t="shared" ca="1" si="294"/>
        <v>-4.0038131553860934E-2</v>
      </c>
      <c r="CX271" s="20">
        <f t="shared" ca="1" si="295"/>
        <v>-2.6692087702573957E-2</v>
      </c>
      <c r="CY271" s="20">
        <f t="shared" ca="1" si="296"/>
        <v>-1.6015252621544372E-2</v>
      </c>
      <c r="CZ271" s="20">
        <f t="shared" ca="1" si="297"/>
        <v>-8.8973625675246512E-3</v>
      </c>
      <c r="DA271" s="20">
        <f t="shared" ca="1" si="315"/>
        <v>-4.7103684181012866E-3</v>
      </c>
      <c r="DB271" s="20">
        <f t="shared" ca="1" si="316"/>
        <v>-2.4265534275067233E-3</v>
      </c>
      <c r="DC271" s="20">
        <f t="shared" ca="1" si="317"/>
        <v>-1.2319425093495673E-3</v>
      </c>
      <c r="DD271" s="21">
        <f t="shared" ca="1" si="318"/>
        <v>1.2319425093495673E-3</v>
      </c>
      <c r="DE271" s="21">
        <f t="shared" ca="1" si="319"/>
        <v>2.4265534275067233E-3</v>
      </c>
      <c r="DF271" s="21">
        <f t="shared" ca="1" si="320"/>
        <v>4.7103684181012866E-3</v>
      </c>
      <c r="DG271" s="21">
        <f t="shared" ca="1" si="298"/>
        <v>8.8973625675246512E-3</v>
      </c>
      <c r="DH271" s="21">
        <f t="shared" ca="1" si="299"/>
        <v>1.6015252621544372E-2</v>
      </c>
      <c r="DI271" s="21">
        <f t="shared" ca="1" si="300"/>
        <v>2.6692087702573957E-2</v>
      </c>
      <c r="DJ271" s="21">
        <f t="shared" ca="1" si="301"/>
        <v>4.0038131553860934E-2</v>
      </c>
      <c r="DL271" s="16" cm="1">
        <f t="array" aca="1" ref="DL271" ca="1">MAX(_xlfn._xlws.FILTER(CW271:DJ271,CW271:DJ271&lt;BU271))</f>
        <v>2.4265534275067233E-3</v>
      </c>
      <c r="DM271" s="16" cm="1">
        <f t="array" aca="1" ref="DM271" ca="1">MIN(_xlfn._xlws.FILTER(CW271:DJ271,CW271:DJ271&gt;BU271))</f>
        <v>4.7103684181012866E-3</v>
      </c>
      <c r="DN271" s="2" cm="1">
        <f t="array" aca="1" ref="DN271" ca="1">_FV(EC271,"Fechamento anterior",TRUE)</f>
        <v>11.09</v>
      </c>
      <c r="DO271" s="28">
        <f t="shared" ca="1" si="302"/>
        <v>0.12198288355011966</v>
      </c>
      <c r="DP271" s="15">
        <f t="shared" ca="1" si="283"/>
        <v>11.11691047751105</v>
      </c>
      <c r="DQ271" s="15">
        <f t="shared" ca="1" si="284"/>
        <v>11.142237985756744</v>
      </c>
      <c r="DR271" s="9"/>
      <c r="DS271" s="9"/>
      <c r="DT271" s="9"/>
      <c r="DU271" s="89">
        <v>6.9545630521240312E-3</v>
      </c>
      <c r="DV271" s="89">
        <f t="shared" ca="1" si="303"/>
        <v>2.2838149905945633E-3</v>
      </c>
      <c r="DW271" s="72">
        <f t="shared" ca="1" si="304"/>
        <v>0.31042705993860698</v>
      </c>
      <c r="DX271" s="37"/>
      <c r="DY271" s="35">
        <f t="shared" si="314"/>
        <v>0.20133554082674993</v>
      </c>
      <c r="DZ271" s="56"/>
      <c r="EA271" s="56"/>
      <c r="EC271" s="2" t="e" vm="278">
        <v>#VALUE!</v>
      </c>
      <c r="EE271" s="10" cm="1">
        <f t="array" aca="1" ref="EE271" ca="1">_FV(EC271,"Ações em circulação",TRUE)</f>
        <v>344498900</v>
      </c>
      <c r="EF271" s="18">
        <f>VLOOKUP(BP271,Fundamentus!A:U,5,FALSE)</f>
        <v>2.9239999999999999</v>
      </c>
      <c r="EG271" s="2">
        <f t="shared" ca="1" si="305"/>
        <v>1310132615.5950751</v>
      </c>
      <c r="EH271" s="17">
        <v>556151295.32010937</v>
      </c>
      <c r="EI271" s="17">
        <f t="shared" ca="1" si="306"/>
        <v>556151295.32010937</v>
      </c>
      <c r="EK271" s="16">
        <f t="shared" ca="1" si="282"/>
        <v>0</v>
      </c>
      <c r="EL271" s="32" t="str">
        <f>IF(VLOOKUP(BP271,Fundamentus!A:U,3,FALSE)&lt;15,"Bom",IF(VLOOKUP(BP271,Fundamentus!A:U,3,FALSE)&gt;15,"Ruim","n/a"))</f>
        <v>Bom</v>
      </c>
      <c r="EM271" s="28" t="str">
        <f>IF(VLOOKUP(BP271,Fundamentus!A:U,4,FALSE)&lt;1,"Baixo",IF(VLOOKUP(BP271,Fundamentus!A:U,4,FALSE)&lt;1.5,"Moderado",IF(VLOOKUP(BP271,Fundamentus!A:U,4,FALSE)&gt;1.5,"Alto","n/a")))</f>
        <v>Alto</v>
      </c>
      <c r="EN271" s="17" t="str">
        <f>IF(VLOOKUP(BP271,Fundamentus!A:U,8,FALSE)&lt;0,"Risco elevado",IF(VLOOKUP(BP271,Fundamentus!A:U,8,FALSE)&lt;1,"Saudável",IF(VLOOKUP(BP271,Fundamentus!A:U,8,FALSE)&lt;3,"Estável",IF(VLOOKUP(BP271,Fundamentus!A:U,8,FALSE)&gt;3,"Alerta","n/a"))))</f>
        <v>Alerta</v>
      </c>
      <c r="EO271" s="28" t="str">
        <f t="shared" si="307"/>
        <v>Bom</v>
      </c>
      <c r="EP271" s="17" t="str">
        <f>IF(VLOOKUP(BP271,Fundamentus!A:U,12,FALSE)&lt;2,"Subvalorizada",IF(VLOOKUP(BP271,Fundamentus!A:U,12,FALSE)&lt;6,"Muita barata",IF(VLOOKUP(BP271,Fundamentus!A:U,12,FALSE)&lt;6,"Barata",IF(VLOOKUP(BP271,Fundamentus!A:U,12,FALSE)&lt;8,"Atrativa",IF(VLOOKUP(BP271,Fundamentus!A:U,12,FALSE)&gt;8,"Supervalorizada","n/a")))))</f>
        <v>Supervalorizada</v>
      </c>
      <c r="ER271" s="17" t="str">
        <f>IF(VLOOKUP(BP271,Fundamentus!A:U,17,FALSE)&lt;0.1,"Fraco retorno",IF(VLOOKUP(BP271,Fundamentus!A:U,17,FALSE)&gt;0.1,"Bom retorno","n/a"))</f>
        <v>Bom retorno</v>
      </c>
      <c r="ES271" s="17" t="str">
        <f>IF(VLOOKUP(BP271,Fundamentus!A:U,16,FALSE)&lt;0.1,"Ineficiente",IF(VLOOKUP(BP271,Fundamentus!A:U,16,FALSE)&gt;0.1,"Eficiente","n/a"))</f>
        <v>Eficiente</v>
      </c>
      <c r="ET271" s="33" t="str">
        <f>IF(VLOOKUP(BP271,Fundamentus!A:U,16,FALSE)&lt;0.1,"Oper. Ineficiente",IF(VLOOKUP(BP271,Fundamentus!A:U,16,FALSE)&gt;0.1,"Oper.Eficiente","n/a"))</f>
        <v>Oper.Eficiente</v>
      </c>
      <c r="EU271" s="34">
        <f>VLOOKUP(BP271,Fundamentus!A:U,14,FALSE)</f>
        <v>0.42449999999999999</v>
      </c>
      <c r="EV271" s="17" t="str">
        <f>IF(VLOOKUP(BP271,Fundamentus!A:U,21,FALSE)&lt;0,"Negativo",IF(VLOOKUP(BP271,Fundamentus!A:U,21,FALSE)&lt;0.05,"Fraco",IF(VLOOKUP(BP271,Fundamentus!A:U,21,FALSE)&lt;0.1,"Bom",IF(VLOOKUP(BP271,Fundamentus!A:U,21,FALSE)&gt;0.1,"Muito bom","n/a"))))</f>
        <v>Fraco</v>
      </c>
      <c r="EX271" s="29" t="str">
        <f>IF(VLOOKUP(BP271,Fundamentus!A:U,15,FALSE)&gt;1,"Bom",IF(VLOOKUP(BP271,Fundamentus!A:U,15,FALSE)&lt;1,"Ruim","n/a"))</f>
        <v>Bom</v>
      </c>
      <c r="EY271" s="17" t="str">
        <f>IF(VLOOKUP(BP271,Fundamentus!A:U,20,FALSE)&lt;0.5,"Baixa",IF(VLOOKUP(BP271,Fundamentus!A:U,20,FALSE)&lt;1,"Moderada",IF(VLOOKUP(BP271,Fundamentus!A:U,20,FALSE)&lt;2,"Alerta",IF(VLOOKUP(BP271,Fundamentus!A:U,20,FALSE)&gt;2,"Alta","n/a"))))</f>
        <v>Alerta</v>
      </c>
    </row>
    <row r="273" spans="1:142" ht="11.25" customHeight="1" x14ac:dyDescent="0.25">
      <c r="EK273" s="16">
        <v>5.1817927712916045E-3</v>
      </c>
    </row>
    <row r="274" spans="1:142" ht="11.25" customHeight="1" x14ac:dyDescent="0.2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7"/>
      <c r="AU274" s="57"/>
      <c r="AV274" s="57"/>
      <c r="AW274" s="57"/>
      <c r="AX274" s="57"/>
      <c r="AY274" s="57"/>
      <c r="AZ274" s="57"/>
      <c r="BA274" s="57"/>
      <c r="BB274" s="57"/>
      <c r="BC274" s="57"/>
      <c r="BD274" s="57"/>
      <c r="BE274" s="57"/>
      <c r="BF274" s="57"/>
      <c r="BG274" s="57"/>
      <c r="BH274" s="57"/>
      <c r="BI274" s="57"/>
      <c r="BJ274" s="57"/>
      <c r="BK274" s="57"/>
      <c r="BL274" s="57"/>
      <c r="BM274" s="57"/>
      <c r="BN274" s="57"/>
      <c r="BU274" s="1"/>
      <c r="CX274" s="1" t="s">
        <v>275</v>
      </c>
      <c r="CY274" s="1" t="s">
        <v>269</v>
      </c>
      <c r="CZ274" s="1" t="s">
        <v>271</v>
      </c>
      <c r="DA274" s="1" t="s">
        <v>270</v>
      </c>
      <c r="DB274" s="1" t="s">
        <v>279</v>
      </c>
      <c r="DC274" s="1" t="s">
        <v>280</v>
      </c>
      <c r="DD274" s="1" t="s">
        <v>281</v>
      </c>
      <c r="DE274" s="1" t="s">
        <v>283</v>
      </c>
      <c r="DV274" s="84"/>
      <c r="EK274" s="16">
        <v>1.3079483012150783E-2</v>
      </c>
    </row>
    <row r="275" spans="1:142" x14ac:dyDescent="0.25">
      <c r="BD275" s="37"/>
      <c r="BU275" s="1"/>
      <c r="CO275" s="16"/>
      <c r="EK275" s="16">
        <v>7.6645501222152301E-3</v>
      </c>
    </row>
    <row r="276" spans="1:142" x14ac:dyDescent="0.25">
      <c r="BP276" s="78"/>
      <c r="BU276" s="1"/>
      <c r="BX276" s="80"/>
      <c r="BZ276" s="59"/>
      <c r="CN276" s="65"/>
      <c r="EK276" s="16">
        <v>6.1350601295095952E-3</v>
      </c>
    </row>
    <row r="277" spans="1:142" x14ac:dyDescent="0.25">
      <c r="BU277" s="1"/>
      <c r="CM277" s="19"/>
      <c r="CN277" s="19"/>
    </row>
    <row r="278" spans="1:142" x14ac:dyDescent="0.25">
      <c r="BU278" s="1"/>
      <c r="EL278" s="7"/>
    </row>
    <row r="279" spans="1:142" x14ac:dyDescent="0.25">
      <c r="BU279" s="1"/>
      <c r="BX279" s="77"/>
    </row>
  </sheetData>
  <autoFilter ref="A5:FK271" xr:uid="{00000000-0001-0000-0000-000000000000}"/>
  <sortState xmlns:xlrd2="http://schemas.microsoft.com/office/spreadsheetml/2017/richdata2" ref="A19:FA186">
    <sortCondition descending="1" ref="CB19:CB186"/>
  </sortState>
  <conditionalFormatting sqref="AY6:AZ271">
    <cfRule type="expression" dxfId="53" priority="177">
      <formula>AY6&gt;AX6</formula>
    </cfRule>
  </conditionalFormatting>
  <conditionalFormatting sqref="BA6:BN271">
    <cfRule type="expression" dxfId="52" priority="111">
      <formula>BA6=AZ6</formula>
    </cfRule>
    <cfRule type="expression" dxfId="51" priority="112">
      <formula>BA6&gt;=AZ6</formula>
    </cfRule>
  </conditionalFormatting>
  <conditionalFormatting sqref="BD275">
    <cfRule type="expression" dxfId="50" priority="31">
      <formula>BD275=BC275</formula>
    </cfRule>
    <cfRule type="expression" dxfId="49" priority="32">
      <formula>BD275&gt;=BC275</formula>
    </cfRule>
  </conditionalFormatting>
  <conditionalFormatting sqref="BO6:BO271">
    <cfRule type="expression" dxfId="48" priority="179">
      <formula>BO6&gt;=BJ6</formula>
    </cfRule>
  </conditionalFormatting>
  <conditionalFormatting sqref="BU2">
    <cfRule type="cellIs" dxfId="47" priority="1" operator="greaterThan">
      <formula>0</formula>
    </cfRule>
  </conditionalFormatting>
  <conditionalFormatting sqref="BU4">
    <cfRule type="cellIs" dxfId="46" priority="3" operator="greaterThan">
      <formula>0</formula>
    </cfRule>
  </conditionalFormatting>
  <conditionalFormatting sqref="BU6:BU271">
    <cfRule type="cellIs" dxfId="45" priority="19" operator="greaterThan">
      <formula>0</formula>
    </cfRule>
  </conditionalFormatting>
  <conditionalFormatting sqref="CB3 CB6:CB1048576">
    <cfRule type="cellIs" dxfId="44" priority="110" operator="between">
      <formula>0</formula>
      <formula>0.009</formula>
    </cfRule>
  </conditionalFormatting>
  <conditionalFormatting sqref="CB3 CB6:CC1048576 BO272:BO1048576 BZ272:BZ1048576">
    <cfRule type="cellIs" dxfId="43" priority="114" operator="greaterThan">
      <formula>0.009</formula>
    </cfRule>
  </conditionalFormatting>
  <conditionalFormatting sqref="CH3">
    <cfRule type="cellIs" dxfId="42" priority="17" operator="between">
      <formula>0</formula>
      <formula>0.009</formula>
    </cfRule>
    <cfRule type="cellIs" dxfId="41" priority="18" operator="greaterThan">
      <formula>0.009</formula>
    </cfRule>
  </conditionalFormatting>
  <conditionalFormatting sqref="DO6:DO271">
    <cfRule type="cellIs" dxfId="40" priority="121" operator="lessThan">
      <formula>0.1</formula>
    </cfRule>
    <cfRule type="cellIs" dxfId="39" priority="120" operator="greaterThan">
      <formula>0.9</formula>
    </cfRule>
  </conditionalFormatting>
  <conditionalFormatting sqref="DU6:DV271">
    <cfRule type="cellIs" dxfId="38" priority="2" operator="lessThan">
      <formula>0.01</formula>
    </cfRule>
  </conditionalFormatting>
  <conditionalFormatting sqref="EL6:EL271">
    <cfRule type="containsText" dxfId="37" priority="69" operator="containsText" text="Bom">
      <formula>NOT(ISERROR(SEARCH("Bom",EL6)))</formula>
    </cfRule>
  </conditionalFormatting>
  <conditionalFormatting sqref="EM6:EN271">
    <cfRule type="containsText" dxfId="36" priority="66" operator="containsText" text="Baixo">
      <formula>NOT(ISERROR(SEARCH("Baixo",EM6)))</formula>
    </cfRule>
    <cfRule type="containsText" dxfId="35" priority="67" operator="containsText" text="Moderado">
      <formula>NOT(ISERROR(SEARCH("Moderado",EM6)))</formula>
    </cfRule>
    <cfRule type="containsText" dxfId="34" priority="68" operator="containsText" text="Alto">
      <formula>NOT(ISERROR(SEARCH("Alto",EM6)))</formula>
    </cfRule>
  </conditionalFormatting>
  <conditionalFormatting sqref="EN6:EN271">
    <cfRule type="containsText" dxfId="33" priority="52" operator="containsText" text="Risco elevado">
      <formula>NOT(ISERROR(SEARCH("Risco elevado",EN6)))</formula>
    </cfRule>
    <cfRule type="containsText" dxfId="32" priority="53" operator="containsText" text="Estável">
      <formula>NOT(ISERROR(SEARCH("Estável",EN6)))</formula>
    </cfRule>
    <cfRule type="containsText" dxfId="31" priority="54" operator="containsText" text="Alerta">
      <formula>NOT(ISERROR(SEARCH("Alerta",EN6)))</formula>
    </cfRule>
    <cfRule type="containsText" dxfId="30" priority="55" operator="containsText" text="Saudável">
      <formula>NOT(ISERROR(SEARCH("Saudável",EN6)))</formula>
    </cfRule>
  </conditionalFormatting>
  <conditionalFormatting sqref="EO6:EO271">
    <cfRule type="containsText" dxfId="29" priority="64" operator="containsText" text="Ruim">
      <formula>NOT(ISERROR(SEARCH("Ruim",EO6)))</formula>
    </cfRule>
    <cfRule type="containsText" dxfId="28" priority="65" operator="containsText" text="Bom">
      <formula>NOT(ISERROR(SEARCH("Bom",EO6)))</formula>
    </cfRule>
  </conditionalFormatting>
  <conditionalFormatting sqref="EP6:EV271">
    <cfRule type="containsText" dxfId="27" priority="80" operator="containsText" text="Atrativa">
      <formula>NOT(ISERROR(SEARCH("Atrativa",EP6)))</formula>
    </cfRule>
    <cfRule type="containsText" dxfId="26" priority="81" operator="containsText" text="Barata">
      <formula>NOT(ISERROR(SEARCH("Barata",EP6)))</formula>
    </cfRule>
    <cfRule type="containsText" dxfId="25" priority="82" operator="containsText" text="Muito barata">
      <formula>NOT(ISERROR(SEARCH("Muito barata",EP6)))</formula>
    </cfRule>
    <cfRule type="containsText" dxfId="24" priority="83" operator="containsText" text="Subvalorizada">
      <formula>NOT(ISERROR(SEARCH("Subvalorizada",EP6)))</formula>
    </cfRule>
    <cfRule type="containsText" dxfId="23" priority="79" operator="containsText" text="Supervalorizada">
      <formula>NOT(ISERROR(SEARCH("Supervalorizada",EP6)))</formula>
    </cfRule>
  </conditionalFormatting>
  <conditionalFormatting sqref="ER6:ER271">
    <cfRule type="containsText" dxfId="22" priority="63" operator="containsText" text="Bom retorno">
      <formula>NOT(ISERROR(SEARCH("Bom retorno",ER6)))</formula>
    </cfRule>
    <cfRule type="containsText" dxfId="21" priority="62" operator="containsText" text="Fraco retorno">
      <formula>NOT(ISERROR(SEARCH("Fraco retorno",ER6)))</formula>
    </cfRule>
  </conditionalFormatting>
  <conditionalFormatting sqref="ES6:ES271">
    <cfRule type="containsText" dxfId="20" priority="61" operator="containsText" text="Eficiente">
      <formula>NOT(ISERROR(SEARCH("Eficiente",ES6)))</formula>
    </cfRule>
    <cfRule type="containsText" dxfId="19" priority="60" operator="containsText" text="Ineficiente">
      <formula>NOT(ISERROR(SEARCH("Ineficiente",ES6)))</formula>
    </cfRule>
  </conditionalFormatting>
  <conditionalFormatting sqref="ET6:ET271">
    <cfRule type="containsText" dxfId="18" priority="58" operator="containsText" text="Oper.Ineficiente">
      <formula>NOT(ISERROR(SEARCH("Oper.Ineficiente",ET6)))</formula>
    </cfRule>
    <cfRule type="containsText" dxfId="17" priority="59" operator="containsText" text="Oper.Eficiente">
      <formula>NOT(ISERROR(SEARCH("Oper.Eficiente",ET6)))</formula>
    </cfRule>
  </conditionalFormatting>
  <conditionalFormatting sqref="EU6:EU271">
    <cfRule type="cellIs" dxfId="16" priority="57" operator="greaterThan">
      <formula>0</formula>
    </cfRule>
  </conditionalFormatting>
  <conditionalFormatting sqref="EU9">
    <cfRule type="containsText" dxfId="15" priority="56" operator="containsText" text="Risco elevado">
      <formula>NOT(ISERROR(SEARCH("Risco elevado",EU9)))</formula>
    </cfRule>
  </conditionalFormatting>
  <conditionalFormatting sqref="EV6:EV271">
    <cfRule type="containsText" dxfId="14" priority="74" operator="containsText" text="Supervalorizada">
      <formula>NOT(ISERROR(SEARCH("Supervalorizada",EV6)))</formula>
    </cfRule>
    <cfRule type="containsText" dxfId="13" priority="75" operator="containsText" text="Atrativa">
      <formula>NOT(ISERROR(SEARCH("Atrativa",EV6)))</formula>
    </cfRule>
    <cfRule type="containsText" dxfId="12" priority="76" operator="containsText" text="Barata">
      <formula>NOT(ISERROR(SEARCH("Barata",EV6)))</formula>
    </cfRule>
    <cfRule type="containsText" dxfId="11" priority="77" operator="containsText" text="Muito barata">
      <formula>NOT(ISERROR(SEARCH("Muito barata",EV6)))</formula>
    </cfRule>
    <cfRule type="containsText" dxfId="10" priority="78" operator="containsText" text="Subvalorizada">
      <formula>NOT(ISERROR(SEARCH("Subvalorizada",EV6)))</formula>
    </cfRule>
    <cfRule type="containsText" dxfId="9" priority="70" operator="containsText" text="Muito Bom">
      <formula>NOT(ISERROR(SEARCH("Muito Bom",EV6)))</formula>
    </cfRule>
    <cfRule type="containsText" dxfId="8" priority="73" operator="containsText" text="Negativo">
      <formula>NOT(ISERROR(SEARCH("Negativo",EV6)))</formula>
    </cfRule>
    <cfRule type="containsText" dxfId="7" priority="72" operator="containsText" text="Fraco">
      <formula>NOT(ISERROR(SEARCH("Fraco",EV6)))</formula>
    </cfRule>
    <cfRule type="containsText" dxfId="6" priority="71" operator="containsText" text="Bom">
      <formula>NOT(ISERROR(SEARCH("Bom",EV6)))</formula>
    </cfRule>
  </conditionalFormatting>
  <conditionalFormatting sqref="EX6:EX271">
    <cfRule type="containsText" dxfId="5" priority="88" operator="containsText" text="Ruim">
      <formula>NOT(ISERROR(SEARCH("Ruim",EX6)))</formula>
    </cfRule>
    <cfRule type="containsText" dxfId="4" priority="89" operator="containsText" text="Bom">
      <formula>NOT(ISERROR(SEARCH("Bom",EX6)))</formula>
    </cfRule>
  </conditionalFormatting>
  <conditionalFormatting sqref="EY6:EY271">
    <cfRule type="containsText" dxfId="3" priority="84" operator="containsText" text="Baixa">
      <formula>NOT(ISERROR(SEARCH("Baixa",EY6)))</formula>
    </cfRule>
    <cfRule type="containsText" dxfId="2" priority="86" operator="containsText" text="Alta">
      <formula>NOT(ISERROR(SEARCH("Alta",EY6)))</formula>
    </cfRule>
    <cfRule type="containsText" dxfId="1" priority="87" operator="containsText" text="Alerta">
      <formula>NOT(ISERROR(SEARCH("Alerta",EY6)))</formula>
    </cfRule>
    <cfRule type="containsText" dxfId="0" priority="85" operator="containsText" text="Moderada">
      <formula>NOT(ISERROR(SEARCH("Moderada",EY6)))</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F267"/>
  <sheetViews>
    <sheetView zoomScale="110" zoomScaleNormal="110" workbookViewId="0">
      <selection activeCell="B1" sqref="B1:B1048576"/>
    </sheetView>
  </sheetViews>
  <sheetFormatPr defaultRowHeight="15" x14ac:dyDescent="0.25"/>
  <cols>
    <col min="2" max="2" width="12.5703125" bestFit="1" customWidth="1"/>
    <col min="3" max="3" width="10.85546875" bestFit="1" customWidth="1"/>
    <col min="4" max="6" width="11.85546875" customWidth="1"/>
  </cols>
  <sheetData>
    <row r="1" spans="1:6" x14ac:dyDescent="0.25">
      <c r="A1" t="s">
        <v>475</v>
      </c>
      <c r="B1" s="79">
        <v>45843</v>
      </c>
      <c r="C1" s="79">
        <v>45850</v>
      </c>
      <c r="D1" s="79">
        <v>45857</v>
      </c>
      <c r="E1" s="79">
        <v>45864</v>
      </c>
      <c r="F1" s="79">
        <v>45871</v>
      </c>
    </row>
    <row r="2" spans="1:6" x14ac:dyDescent="0.25">
      <c r="A2" s="13" t="str">
        <f>Bovespa!BP6</f>
        <v>EQPA7</v>
      </c>
      <c r="B2" s="13">
        <v>8.0500000000000007</v>
      </c>
      <c r="C2" s="13">
        <v>8.0500000000000007</v>
      </c>
      <c r="D2" s="13">
        <v>8.0500000000000007</v>
      </c>
      <c r="E2" s="13">
        <f ca="1">Bovespa!BO6</f>
        <v>6.52</v>
      </c>
      <c r="F2" s="13">
        <v>6.52</v>
      </c>
    </row>
    <row r="3" spans="1:6" x14ac:dyDescent="0.25">
      <c r="A3" s="13" t="str">
        <f>Bovespa!BP7</f>
        <v>CGRA4</v>
      </c>
      <c r="B3" s="13">
        <v>29.05</v>
      </c>
      <c r="C3" s="13">
        <v>28.7</v>
      </c>
      <c r="D3" s="13">
        <v>27.52</v>
      </c>
      <c r="E3" s="13">
        <f ca="1">Bovespa!BO7</f>
        <v>26.87</v>
      </c>
      <c r="F3" s="13">
        <v>26.87</v>
      </c>
    </row>
    <row r="4" spans="1:6" x14ac:dyDescent="0.25">
      <c r="A4" s="13" t="str">
        <f>Bovespa!BP8</f>
        <v>ISAE4</v>
      </c>
      <c r="B4" s="13">
        <v>23.31</v>
      </c>
      <c r="C4" s="13">
        <v>22.8</v>
      </c>
      <c r="D4" s="13">
        <v>22.44</v>
      </c>
      <c r="E4" s="13">
        <f ca="1">Bovespa!BO8</f>
        <v>21.6</v>
      </c>
      <c r="F4" s="13">
        <v>21.6</v>
      </c>
    </row>
    <row r="5" spans="1:6" x14ac:dyDescent="0.25">
      <c r="A5" s="13" t="str">
        <f>Bovespa!BP9</f>
        <v>BEES3</v>
      </c>
      <c r="B5" s="13">
        <v>8.6300000000000008</v>
      </c>
      <c r="C5" s="13">
        <v>8.5</v>
      </c>
      <c r="D5" s="13">
        <v>8.49</v>
      </c>
      <c r="E5" s="13">
        <f ca="1">Bovespa!BO9</f>
        <v>8.3800000000000008</v>
      </c>
      <c r="F5" s="13">
        <v>8.3800000000000008</v>
      </c>
    </row>
    <row r="6" spans="1:6" x14ac:dyDescent="0.25">
      <c r="A6" s="13" t="str">
        <f>Bovespa!BP10</f>
        <v>ABEV3</v>
      </c>
      <c r="B6" s="13">
        <v>13.52</v>
      </c>
      <c r="C6" s="13">
        <v>13.3</v>
      </c>
      <c r="D6" s="13">
        <v>13.32</v>
      </c>
      <c r="E6" s="13">
        <f ca="1">Bovespa!BO10</f>
        <v>12.29</v>
      </c>
      <c r="F6" s="13">
        <v>12.29</v>
      </c>
    </row>
    <row r="7" spans="1:6" x14ac:dyDescent="0.25">
      <c r="A7" s="13" t="str">
        <f>Bovespa!BP11</f>
        <v>RPMG3</v>
      </c>
      <c r="B7" s="13">
        <v>2.96</v>
      </c>
      <c r="C7" s="13">
        <v>2.9</v>
      </c>
      <c r="D7" s="13">
        <v>2.9</v>
      </c>
      <c r="E7" s="13">
        <f ca="1">Bovespa!BO11</f>
        <v>2.91</v>
      </c>
      <c r="F7" s="13">
        <v>2.91</v>
      </c>
    </row>
    <row r="8" spans="1:6" x14ac:dyDescent="0.25">
      <c r="A8" s="13" t="str">
        <f>Bovespa!BP12</f>
        <v>DMVF3</v>
      </c>
      <c r="B8" s="13">
        <v>4.9400000000000004</v>
      </c>
      <c r="C8" s="13">
        <v>4.74</v>
      </c>
      <c r="D8" s="13">
        <v>4.6900000000000004</v>
      </c>
      <c r="E8" s="13">
        <f ca="1">Bovespa!BO12</f>
        <v>4.67</v>
      </c>
      <c r="F8" s="13">
        <v>4.67</v>
      </c>
    </row>
    <row r="9" spans="1:6" x14ac:dyDescent="0.25">
      <c r="A9" s="13" t="str">
        <f>Bovespa!BP13</f>
        <v>SLCE3</v>
      </c>
      <c r="B9" s="13">
        <v>18.100000000000001</v>
      </c>
      <c r="C9" s="13">
        <v>18.2</v>
      </c>
      <c r="D9" s="13">
        <v>18.2</v>
      </c>
      <c r="E9" s="13">
        <f ca="1">Bovespa!BO13</f>
        <v>18.14</v>
      </c>
      <c r="F9" s="13">
        <v>18.14</v>
      </c>
    </row>
    <row r="10" spans="1:6" x14ac:dyDescent="0.25">
      <c r="A10" s="13" t="str">
        <f>Bovespa!BP14</f>
        <v>OPCT3</v>
      </c>
      <c r="B10" s="13">
        <v>7</v>
      </c>
      <c r="C10" s="13">
        <v>6.82</v>
      </c>
      <c r="D10" s="13">
        <v>6.42</v>
      </c>
      <c r="E10" s="13">
        <f ca="1">Bovespa!BO14</f>
        <v>6.1</v>
      </c>
      <c r="F10" s="13">
        <v>6.1</v>
      </c>
    </row>
    <row r="11" spans="1:6" x14ac:dyDescent="0.25">
      <c r="A11" s="13" t="str">
        <f>Bovespa!BP15</f>
        <v>SANB4</v>
      </c>
      <c r="B11" s="13">
        <v>15.37</v>
      </c>
      <c r="C11" s="13">
        <v>14.44</v>
      </c>
      <c r="D11" s="13">
        <v>13.79</v>
      </c>
      <c r="E11" s="13">
        <f ca="1">Bovespa!BO15</f>
        <v>13.64</v>
      </c>
      <c r="F11" s="13">
        <v>13.64</v>
      </c>
    </row>
    <row r="12" spans="1:6" x14ac:dyDescent="0.25">
      <c r="A12" s="13" t="str">
        <f>Bovespa!BP16</f>
        <v>WHRL4</v>
      </c>
      <c r="B12" s="13">
        <v>4.5999999999999996</v>
      </c>
      <c r="C12" s="13">
        <v>4.2</v>
      </c>
      <c r="D12" s="13">
        <v>4.17</v>
      </c>
      <c r="E12" s="13">
        <f ca="1">Bovespa!BO16</f>
        <v>4.4000000000000004</v>
      </c>
      <c r="F12" s="13">
        <v>4.4000000000000004</v>
      </c>
    </row>
    <row r="13" spans="1:6" x14ac:dyDescent="0.25">
      <c r="A13" s="13" t="str">
        <f>Bovespa!BP17</f>
        <v>TELB4</v>
      </c>
      <c r="B13" s="13">
        <v>8.27</v>
      </c>
      <c r="C13" s="13">
        <v>7.96</v>
      </c>
      <c r="D13" s="13">
        <v>7.3</v>
      </c>
      <c r="E13" s="13">
        <f ca="1">Bovespa!BO17</f>
        <v>7.6</v>
      </c>
      <c r="F13" s="13">
        <v>7.6</v>
      </c>
    </row>
    <row r="14" spans="1:6" x14ac:dyDescent="0.25">
      <c r="A14" s="13" t="str">
        <f>Bovespa!BP18</f>
        <v>PETR4</v>
      </c>
      <c r="B14" s="13">
        <v>32.119999999999997</v>
      </c>
      <c r="C14" s="13">
        <v>32.6</v>
      </c>
      <c r="D14" s="13">
        <v>30.99</v>
      </c>
      <c r="E14" s="13">
        <f ca="1">Bovespa!BO18</f>
        <v>32.21</v>
      </c>
      <c r="F14" s="13">
        <v>32.21</v>
      </c>
    </row>
    <row r="15" spans="1:6" x14ac:dyDescent="0.25">
      <c r="A15" s="13" t="str">
        <f>Bovespa!BP19</f>
        <v>ASAI3</v>
      </c>
      <c r="B15" s="13">
        <v>10.3</v>
      </c>
      <c r="C15" s="13">
        <v>9.98</v>
      </c>
      <c r="D15" s="13">
        <v>9.7200000000000006</v>
      </c>
      <c r="E15" s="13">
        <f ca="1">Bovespa!BO19</f>
        <v>9.6999999999999993</v>
      </c>
      <c r="F15" s="13">
        <v>9.6999999999999993</v>
      </c>
    </row>
    <row r="16" spans="1:6" x14ac:dyDescent="0.25">
      <c r="A16" s="13" t="str">
        <f>Bovespa!BP20</f>
        <v>SHUL4</v>
      </c>
      <c r="B16" s="13">
        <v>5.28</v>
      </c>
      <c r="C16" s="13">
        <v>5.19</v>
      </c>
      <c r="D16" s="13">
        <v>5.0999999999999996</v>
      </c>
      <c r="E16" s="13">
        <f ca="1">Bovespa!BO20</f>
        <v>5</v>
      </c>
      <c r="F16" s="13">
        <v>5</v>
      </c>
    </row>
    <row r="17" spans="1:6" x14ac:dyDescent="0.25">
      <c r="A17" s="13" t="str">
        <f>Bovespa!BP21</f>
        <v>LEVE3</v>
      </c>
      <c r="B17" s="13">
        <v>30.01</v>
      </c>
      <c r="C17" s="13">
        <v>29.2</v>
      </c>
      <c r="D17" s="13">
        <v>28.7</v>
      </c>
      <c r="E17" s="13">
        <f ca="1">Bovespa!BO21</f>
        <v>28.29</v>
      </c>
      <c r="F17" s="13">
        <v>28.29</v>
      </c>
    </row>
    <row r="18" spans="1:6" x14ac:dyDescent="0.25">
      <c r="A18" s="13" t="str">
        <f>Bovespa!BP22</f>
        <v>CPLE6</v>
      </c>
      <c r="B18" s="13">
        <v>12.34</v>
      </c>
      <c r="C18" s="13">
        <v>11.95</v>
      </c>
      <c r="D18" s="13">
        <v>11.88</v>
      </c>
      <c r="E18" s="13">
        <f ca="1">Bovespa!BO22</f>
        <v>11.93</v>
      </c>
      <c r="F18" s="13">
        <v>11.93</v>
      </c>
    </row>
    <row r="19" spans="1:6" x14ac:dyDescent="0.25">
      <c r="A19" s="13" t="str">
        <f>Bovespa!BP23</f>
        <v>CEBR6</v>
      </c>
      <c r="B19" s="13">
        <v>21.6</v>
      </c>
      <c r="C19" s="13">
        <v>21.73</v>
      </c>
      <c r="D19" s="13">
        <v>21.15</v>
      </c>
      <c r="E19" s="13">
        <f ca="1">Bovespa!BO23</f>
        <v>20.9</v>
      </c>
      <c r="F19" s="13">
        <v>20.9</v>
      </c>
    </row>
    <row r="20" spans="1:6" x14ac:dyDescent="0.25">
      <c r="A20" s="13" t="str">
        <f>Bovespa!BP24</f>
        <v>PRNR3</v>
      </c>
      <c r="B20" s="13">
        <v>15.46</v>
      </c>
      <c r="C20" s="13">
        <v>15.56</v>
      </c>
      <c r="D20" s="13">
        <v>15.25</v>
      </c>
      <c r="E20" s="13">
        <f ca="1">Bovespa!BO24</f>
        <v>14.95</v>
      </c>
      <c r="F20" s="13">
        <v>14.95</v>
      </c>
    </row>
    <row r="21" spans="1:6" x14ac:dyDescent="0.25">
      <c r="A21" s="13" t="str">
        <f>Bovespa!BP25</f>
        <v>CMIG4</v>
      </c>
      <c r="B21" s="13">
        <v>11.18</v>
      </c>
      <c r="C21" s="13">
        <v>10.8</v>
      </c>
      <c r="D21" s="13">
        <v>10.38</v>
      </c>
      <c r="E21" s="13">
        <f ca="1">Bovespa!BO25</f>
        <v>10.34</v>
      </c>
      <c r="F21" s="13">
        <v>10.34</v>
      </c>
    </row>
    <row r="22" spans="1:6" x14ac:dyDescent="0.25">
      <c r="A22" s="13" t="str">
        <f>Bovespa!BP26</f>
        <v>BEES4</v>
      </c>
      <c r="B22" s="13">
        <v>8.59</v>
      </c>
      <c r="C22" s="13">
        <v>8.52</v>
      </c>
      <c r="D22" s="13">
        <v>8.42</v>
      </c>
      <c r="E22" s="13">
        <f ca="1">Bovespa!BO26</f>
        <v>8.48</v>
      </c>
      <c r="F22" s="13">
        <v>8.48</v>
      </c>
    </row>
    <row r="23" spans="1:6" x14ac:dyDescent="0.25">
      <c r="A23" s="13" t="str">
        <f>Bovespa!BP27</f>
        <v>POMO3</v>
      </c>
      <c r="B23" s="13">
        <v>6.53</v>
      </c>
      <c r="C23" s="13">
        <v>6.44</v>
      </c>
      <c r="D23" s="13">
        <v>6.44</v>
      </c>
      <c r="E23" s="13">
        <f ca="1">Bovespa!BO27</f>
        <v>7.01</v>
      </c>
      <c r="F23" s="13">
        <v>7.01</v>
      </c>
    </row>
    <row r="24" spans="1:6" x14ac:dyDescent="0.25">
      <c r="A24" s="13" t="str">
        <f>Bovespa!BP28</f>
        <v>BMOB3</v>
      </c>
      <c r="B24" s="13">
        <v>22.08</v>
      </c>
      <c r="C24" s="13">
        <v>21.89</v>
      </c>
      <c r="D24" s="13">
        <v>21.6</v>
      </c>
      <c r="E24" s="13">
        <f ca="1">Bovespa!BO28</f>
        <v>20.23</v>
      </c>
      <c r="F24" s="13">
        <v>20.23</v>
      </c>
    </row>
    <row r="25" spans="1:6" x14ac:dyDescent="0.25">
      <c r="A25" s="13" t="str">
        <f>Bovespa!BP29</f>
        <v>MTSA4</v>
      </c>
      <c r="B25" s="13">
        <v>43.87</v>
      </c>
      <c r="C25" s="13">
        <v>43.16</v>
      </c>
      <c r="D25" s="13">
        <v>43.67</v>
      </c>
      <c r="E25" s="13">
        <f ca="1">Bovespa!BO29</f>
        <v>43.98</v>
      </c>
      <c r="F25" s="13">
        <v>43.98</v>
      </c>
    </row>
    <row r="26" spans="1:6" x14ac:dyDescent="0.25">
      <c r="A26" s="13" t="str">
        <f>Bovespa!BP30</f>
        <v>CAMB3</v>
      </c>
      <c r="B26" s="13">
        <v>10.17</v>
      </c>
      <c r="C26" s="13">
        <v>9.91</v>
      </c>
      <c r="D26" s="13">
        <v>9.5500000000000007</v>
      </c>
      <c r="E26" s="13">
        <f ca="1">Bovespa!BO30</f>
        <v>9.2799999999999994</v>
      </c>
      <c r="F26" s="13">
        <v>9.2799999999999994</v>
      </c>
    </row>
    <row r="27" spans="1:6" x14ac:dyDescent="0.25">
      <c r="A27" s="13" t="str">
        <f>Bovespa!BP31</f>
        <v>BRAP3</v>
      </c>
      <c r="B27" s="13">
        <v>15.4</v>
      </c>
      <c r="C27" s="13">
        <v>15.4</v>
      </c>
      <c r="D27" s="13">
        <v>14.99</v>
      </c>
      <c r="E27" s="13">
        <f ca="1">Bovespa!BO31</f>
        <v>14.49</v>
      </c>
      <c r="F27" s="13">
        <v>14.49</v>
      </c>
    </row>
    <row r="28" spans="1:6" x14ac:dyDescent="0.25">
      <c r="A28" s="13" t="str">
        <f>Bovespa!BP32</f>
        <v>HAGA4</v>
      </c>
      <c r="B28" s="13">
        <v>1.21</v>
      </c>
      <c r="C28" s="13">
        <v>1.17</v>
      </c>
      <c r="D28" s="13">
        <v>1.19</v>
      </c>
      <c r="E28" s="13">
        <f ca="1">Bovespa!BO32</f>
        <v>1.1599999999999999</v>
      </c>
      <c r="F28" s="13">
        <v>1.1599999999999999</v>
      </c>
    </row>
    <row r="29" spans="1:6" x14ac:dyDescent="0.25">
      <c r="A29" s="13" t="str">
        <f>Bovespa!BP33</f>
        <v>SANB3</v>
      </c>
      <c r="B29" s="13">
        <v>13.92</v>
      </c>
      <c r="C29" s="13">
        <v>13.3</v>
      </c>
      <c r="D29" s="13">
        <v>12.5</v>
      </c>
      <c r="E29" s="13">
        <f ca="1">Bovespa!BO33</f>
        <v>12.31</v>
      </c>
      <c r="F29" s="13">
        <v>12.31</v>
      </c>
    </row>
    <row r="30" spans="1:6" x14ac:dyDescent="0.25">
      <c r="A30" s="13" t="str">
        <f>Bovespa!BP34</f>
        <v>CSUD3</v>
      </c>
      <c r="B30" s="13">
        <v>18.579999999999998</v>
      </c>
      <c r="C30" s="13">
        <v>18.39</v>
      </c>
      <c r="D30" s="13">
        <v>17.5</v>
      </c>
      <c r="E30" s="13">
        <f ca="1">Bovespa!BO34</f>
        <v>18.100000000000001</v>
      </c>
      <c r="F30" s="13">
        <v>18.100000000000001</v>
      </c>
    </row>
    <row r="31" spans="1:6" x14ac:dyDescent="0.25">
      <c r="A31" s="13" t="str">
        <f>Bovespa!BP35</f>
        <v>BLAU3</v>
      </c>
      <c r="B31" s="13">
        <v>12.84</v>
      </c>
      <c r="C31" s="13">
        <v>13.01</v>
      </c>
      <c r="D31" s="13">
        <v>12.18</v>
      </c>
      <c r="E31" s="13">
        <f ca="1">Bovespa!BO35</f>
        <v>12.3</v>
      </c>
      <c r="F31" s="13">
        <v>12.3</v>
      </c>
    </row>
    <row r="32" spans="1:6" x14ac:dyDescent="0.25">
      <c r="A32" s="13" t="str">
        <f>Bovespa!BP36</f>
        <v>GGBR3</v>
      </c>
      <c r="B32" s="13">
        <v>15.16</v>
      </c>
      <c r="C32" s="13">
        <v>14.94</v>
      </c>
      <c r="D32" s="13">
        <v>14.65</v>
      </c>
      <c r="E32" s="13">
        <f ca="1">Bovespa!BO36</f>
        <v>14.37</v>
      </c>
      <c r="F32" s="13">
        <v>14.37</v>
      </c>
    </row>
    <row r="33" spans="1:6" x14ac:dyDescent="0.25">
      <c r="A33" s="13" t="str">
        <f>Bovespa!BP37</f>
        <v>CRFB3</v>
      </c>
      <c r="B33" s="13">
        <v>8.48</v>
      </c>
      <c r="C33" s="13">
        <v>8.48</v>
      </c>
      <c r="D33" s="13">
        <v>8.48</v>
      </c>
      <c r="E33" s="13">
        <f ca="1">Bovespa!BO37</f>
        <v>8.48</v>
      </c>
      <c r="F33" s="13">
        <v>8.48</v>
      </c>
    </row>
    <row r="34" spans="1:6" x14ac:dyDescent="0.25">
      <c r="A34" s="13" t="str">
        <f>Bovespa!BP38</f>
        <v>SAPR3</v>
      </c>
      <c r="B34" s="13">
        <v>7.97</v>
      </c>
      <c r="C34" s="13">
        <v>7.89</v>
      </c>
      <c r="D34" s="13">
        <v>7.83</v>
      </c>
      <c r="E34" s="13">
        <f ca="1">Bovespa!BO38</f>
        <v>7.54</v>
      </c>
      <c r="F34" s="13">
        <v>7.54</v>
      </c>
    </row>
    <row r="35" spans="1:6" x14ac:dyDescent="0.25">
      <c r="A35" s="13" t="str">
        <f>Bovespa!BP39</f>
        <v>ABCB4</v>
      </c>
      <c r="B35" s="13">
        <v>21.64</v>
      </c>
      <c r="C35" s="13">
        <v>20.98</v>
      </c>
      <c r="D35" s="13">
        <v>20.8</v>
      </c>
      <c r="E35" s="13">
        <f ca="1">Bovespa!BO39</f>
        <v>21.24</v>
      </c>
      <c r="F35" s="13">
        <v>21.24</v>
      </c>
    </row>
    <row r="36" spans="1:6" x14ac:dyDescent="0.25">
      <c r="A36" s="13" t="str">
        <f>Bovespa!BP40</f>
        <v>BRSR6</v>
      </c>
      <c r="B36" s="13">
        <v>11.67</v>
      </c>
      <c r="C36" s="13">
        <v>11.18</v>
      </c>
      <c r="D36" s="13">
        <v>10.61</v>
      </c>
      <c r="E36" s="13">
        <f ca="1">Bovespa!BO40</f>
        <v>10.78</v>
      </c>
      <c r="F36" s="13">
        <v>10.78</v>
      </c>
    </row>
    <row r="37" spans="1:6" x14ac:dyDescent="0.25">
      <c r="A37" s="13" t="str">
        <f>Bovespa!BP41</f>
        <v>PORT3</v>
      </c>
      <c r="B37" s="13">
        <v>17.5</v>
      </c>
      <c r="C37" s="13">
        <v>17.5</v>
      </c>
      <c r="D37" s="13">
        <v>17.53</v>
      </c>
      <c r="E37" s="13">
        <f ca="1">Bovespa!BO41</f>
        <v>17.71</v>
      </c>
      <c r="F37" s="13">
        <v>17.71</v>
      </c>
    </row>
    <row r="38" spans="1:6" x14ac:dyDescent="0.25">
      <c r="A38" s="13" t="str">
        <f>Bovespa!BP42</f>
        <v>PINE4</v>
      </c>
      <c r="B38" s="13">
        <v>5.9</v>
      </c>
      <c r="C38" s="13">
        <v>6.07</v>
      </c>
      <c r="D38" s="13">
        <v>5.74</v>
      </c>
      <c r="E38" s="13">
        <f ca="1">Bovespa!BO42</f>
        <v>5.87</v>
      </c>
      <c r="F38" s="13">
        <v>5.87</v>
      </c>
    </row>
    <row r="39" spans="1:6" x14ac:dyDescent="0.25">
      <c r="A39" s="13" t="str">
        <f>Bovespa!BP43</f>
        <v>ITSA3</v>
      </c>
      <c r="B39" s="13">
        <v>11.14</v>
      </c>
      <c r="C39" s="13">
        <v>10.5</v>
      </c>
      <c r="D39" s="13">
        <v>10.41</v>
      </c>
      <c r="E39" s="13">
        <f ca="1">Bovespa!BO43</f>
        <v>10.34</v>
      </c>
      <c r="F39" s="13">
        <v>10.34</v>
      </c>
    </row>
    <row r="40" spans="1:6" x14ac:dyDescent="0.25">
      <c r="A40" s="13" t="str">
        <f>Bovespa!BP44</f>
        <v>MEAL3</v>
      </c>
      <c r="B40" s="13">
        <v>1.23</v>
      </c>
      <c r="C40" s="13">
        <v>1.21</v>
      </c>
      <c r="D40" s="13">
        <v>1.35</v>
      </c>
      <c r="E40" s="13">
        <f ca="1">Bovespa!BO44</f>
        <v>1.34</v>
      </c>
      <c r="F40" s="13">
        <v>1.34</v>
      </c>
    </row>
    <row r="41" spans="1:6" x14ac:dyDescent="0.25">
      <c r="A41" s="13" t="str">
        <f>Bovespa!BP45</f>
        <v>BBSE3</v>
      </c>
      <c r="B41" s="13">
        <v>36.51</v>
      </c>
      <c r="C41" s="13">
        <v>35.22</v>
      </c>
      <c r="D41" s="13">
        <v>34.32</v>
      </c>
      <c r="E41" s="13">
        <f ca="1">Bovespa!BO45</f>
        <v>33.44</v>
      </c>
      <c r="F41" s="13">
        <v>33.44</v>
      </c>
    </row>
    <row r="42" spans="1:6" x14ac:dyDescent="0.25">
      <c r="A42" s="13" t="str">
        <f>Bovespa!BP46</f>
        <v>GOAU3</v>
      </c>
      <c r="B42" s="13">
        <v>9.39</v>
      </c>
      <c r="C42" s="13">
        <v>9.31</v>
      </c>
      <c r="D42" s="13">
        <v>9</v>
      </c>
      <c r="E42" s="13">
        <f ca="1">Bovespa!BO46</f>
        <v>9.09</v>
      </c>
      <c r="F42" s="13">
        <v>9.09</v>
      </c>
    </row>
    <row r="43" spans="1:6" x14ac:dyDescent="0.25">
      <c r="A43" s="13" t="str">
        <f>Bovespa!BP47</f>
        <v>ITUB4</v>
      </c>
      <c r="B43" s="13">
        <v>37.729999999999997</v>
      </c>
      <c r="C43" s="13">
        <v>34.96</v>
      </c>
      <c r="D43" s="13">
        <v>35.07</v>
      </c>
      <c r="E43" s="13">
        <f ca="1">Bovespa!BO47</f>
        <v>34.93</v>
      </c>
      <c r="F43" s="13">
        <v>34.93</v>
      </c>
    </row>
    <row r="44" spans="1:6" x14ac:dyDescent="0.25">
      <c r="A44" s="13" t="str">
        <f>Bovespa!BP48</f>
        <v>AGRO3</v>
      </c>
      <c r="B44" s="13">
        <v>20.68</v>
      </c>
      <c r="C44" s="13">
        <v>20.8</v>
      </c>
      <c r="D44" s="13">
        <v>20.49</v>
      </c>
      <c r="E44" s="13">
        <f ca="1">Bovespa!BO48</f>
        <v>20.48</v>
      </c>
      <c r="F44" s="13">
        <v>20.48</v>
      </c>
    </row>
    <row r="45" spans="1:6" x14ac:dyDescent="0.25">
      <c r="A45" s="13" t="str">
        <f>Bovespa!BP49</f>
        <v>BMGB4</v>
      </c>
      <c r="B45" s="13">
        <v>3.72</v>
      </c>
      <c r="C45" s="13">
        <v>3.64</v>
      </c>
      <c r="D45" s="13">
        <v>3.68</v>
      </c>
      <c r="E45" s="13">
        <f ca="1">Bovespa!BO49</f>
        <v>3.43</v>
      </c>
      <c r="F45" s="13">
        <v>3.43</v>
      </c>
    </row>
    <row r="46" spans="1:6" x14ac:dyDescent="0.25">
      <c r="A46" s="13" t="str">
        <f>Bovespa!BP50</f>
        <v>LAND3</v>
      </c>
      <c r="B46" s="13">
        <v>10.44</v>
      </c>
      <c r="C46" s="13">
        <v>10.14</v>
      </c>
      <c r="D46" s="13">
        <v>9.8800000000000008</v>
      </c>
      <c r="E46" s="13">
        <f ca="1">Bovespa!BO50</f>
        <v>10.99</v>
      </c>
      <c r="F46" s="13">
        <v>10.99</v>
      </c>
    </row>
    <row r="47" spans="1:6" x14ac:dyDescent="0.25">
      <c r="A47" s="13" t="str">
        <f>Bovespa!BP51</f>
        <v>GGBR4</v>
      </c>
      <c r="B47" s="13">
        <v>16.78</v>
      </c>
      <c r="C47" s="13">
        <v>16.690000000000001</v>
      </c>
      <c r="D47" s="13">
        <v>16.11</v>
      </c>
      <c r="E47" s="13">
        <f ca="1">Bovespa!BO51</f>
        <v>16.05</v>
      </c>
      <c r="F47" s="13">
        <v>16.05</v>
      </c>
    </row>
    <row r="48" spans="1:6" x14ac:dyDescent="0.25">
      <c r="A48" s="13" t="str">
        <f>Bovespa!BP52</f>
        <v>ITSA4</v>
      </c>
      <c r="B48" s="13">
        <v>11.12</v>
      </c>
      <c r="C48" s="13">
        <v>10.48</v>
      </c>
      <c r="D48" s="13">
        <v>10.45</v>
      </c>
      <c r="E48" s="13">
        <f ca="1">Bovespa!BO52</f>
        <v>10.34</v>
      </c>
      <c r="F48" s="13">
        <v>10.34</v>
      </c>
    </row>
    <row r="49" spans="1:6" x14ac:dyDescent="0.25">
      <c r="A49" s="13" t="str">
        <f>Bovespa!BP53</f>
        <v>SMFT3</v>
      </c>
      <c r="B49" s="13">
        <v>23.36</v>
      </c>
      <c r="C49" s="13">
        <v>22.71</v>
      </c>
      <c r="D49" s="13">
        <v>21.95</v>
      </c>
      <c r="E49" s="13">
        <f ca="1">Bovespa!BO53</f>
        <v>20.95</v>
      </c>
      <c r="F49" s="13">
        <v>20.95</v>
      </c>
    </row>
    <row r="50" spans="1:6" x14ac:dyDescent="0.25">
      <c r="A50" s="13" t="str">
        <f>Bovespa!BP54</f>
        <v>FLRY3</v>
      </c>
      <c r="B50" s="13">
        <v>13.02</v>
      </c>
      <c r="C50" s="13">
        <v>12.62</v>
      </c>
      <c r="D50" s="13">
        <v>12.63</v>
      </c>
      <c r="E50" s="13">
        <f ca="1">Bovespa!BO54</f>
        <v>14.24</v>
      </c>
      <c r="F50" s="13">
        <v>14.24</v>
      </c>
    </row>
    <row r="51" spans="1:6" x14ac:dyDescent="0.25">
      <c r="A51" s="13" t="str">
        <f>Bovespa!BP55</f>
        <v>ROMI3</v>
      </c>
      <c r="B51" s="13">
        <v>8.91</v>
      </c>
      <c r="C51" s="13">
        <v>8.9600000000000009</v>
      </c>
      <c r="D51" s="13">
        <v>8.4</v>
      </c>
      <c r="E51" s="13">
        <f ca="1">Bovespa!BO55</f>
        <v>7.88</v>
      </c>
      <c r="F51" s="13">
        <v>7.88</v>
      </c>
    </row>
    <row r="52" spans="1:6" x14ac:dyDescent="0.25">
      <c r="A52" s="13" t="str">
        <f>Bovespa!BP56</f>
        <v>TAEE4</v>
      </c>
      <c r="B52" s="13">
        <v>11.75</v>
      </c>
      <c r="C52" s="13">
        <v>11.36</v>
      </c>
      <c r="D52" s="13">
        <v>11.24</v>
      </c>
      <c r="E52" s="13">
        <f ca="1">Bovespa!BO56</f>
        <v>11.14</v>
      </c>
      <c r="F52" s="13">
        <v>11.14</v>
      </c>
    </row>
    <row r="53" spans="1:6" x14ac:dyDescent="0.25">
      <c r="A53" s="13" t="str">
        <f>Bovespa!BP57</f>
        <v>RAIL3</v>
      </c>
      <c r="B53" s="13">
        <v>18.579999999999998</v>
      </c>
      <c r="C53" s="13">
        <v>17.12</v>
      </c>
      <c r="D53" s="13">
        <v>16.579999999999998</v>
      </c>
      <c r="E53" s="13">
        <f ca="1">Bovespa!BO57</f>
        <v>16.329999999999998</v>
      </c>
      <c r="F53" s="13">
        <v>16.329999999999998</v>
      </c>
    </row>
    <row r="54" spans="1:6" x14ac:dyDescent="0.25">
      <c r="A54" s="13" t="str">
        <f>Bovespa!BP58</f>
        <v>CYRE3</v>
      </c>
      <c r="B54" s="13">
        <v>26.01</v>
      </c>
      <c r="C54" s="13">
        <v>25.6</v>
      </c>
      <c r="D54" s="13">
        <v>26.58</v>
      </c>
      <c r="E54" s="13">
        <f ca="1">Bovespa!BO58</f>
        <v>24.51</v>
      </c>
      <c r="F54" s="13">
        <v>24.51</v>
      </c>
    </row>
    <row r="55" spans="1:6" x14ac:dyDescent="0.25">
      <c r="A55" s="13" t="str">
        <f>Bovespa!BP59</f>
        <v>CXSE3</v>
      </c>
      <c r="B55" s="13">
        <v>14.9</v>
      </c>
      <c r="C55" s="13">
        <v>14.4</v>
      </c>
      <c r="D55" s="13">
        <v>13.97</v>
      </c>
      <c r="E55" s="13">
        <f ca="1">Bovespa!BO59</f>
        <v>13.69</v>
      </c>
      <c r="F55" s="13">
        <v>13.69</v>
      </c>
    </row>
    <row r="56" spans="1:6" x14ac:dyDescent="0.25">
      <c r="A56" s="13" t="str">
        <f>Bovespa!BP60</f>
        <v>ALLD3</v>
      </c>
      <c r="B56" s="13">
        <v>7.04</v>
      </c>
      <c r="C56" s="13">
        <v>6.97</v>
      </c>
      <c r="D56" s="13">
        <v>6.91</v>
      </c>
      <c r="E56" s="13">
        <f ca="1">Bovespa!BO60</f>
        <v>7.96</v>
      </c>
      <c r="F56" s="13">
        <v>7.96</v>
      </c>
    </row>
    <row r="57" spans="1:6" x14ac:dyDescent="0.25">
      <c r="A57" s="13" t="str">
        <f>Bovespa!BP61</f>
        <v>DEXP3</v>
      </c>
      <c r="B57" s="13">
        <v>9.44</v>
      </c>
      <c r="C57" s="13">
        <v>9.17</v>
      </c>
      <c r="D57" s="13">
        <v>8.67</v>
      </c>
      <c r="E57" s="13">
        <f ca="1">Bovespa!BO61</f>
        <v>8.27</v>
      </c>
      <c r="F57" s="13">
        <v>8.27</v>
      </c>
    </row>
    <row r="58" spans="1:6" x14ac:dyDescent="0.25">
      <c r="A58" s="13" t="str">
        <f>Bovespa!BP62</f>
        <v>VLID3</v>
      </c>
      <c r="B58" s="13">
        <v>24.96</v>
      </c>
      <c r="C58" s="13">
        <v>23.34</v>
      </c>
      <c r="D58" s="13">
        <v>22.18</v>
      </c>
      <c r="E58" s="13">
        <f ca="1">Bovespa!BO62</f>
        <v>22.02</v>
      </c>
      <c r="F58" s="13">
        <v>22.02</v>
      </c>
    </row>
    <row r="59" spans="1:6" x14ac:dyDescent="0.25">
      <c r="A59" s="13" t="str">
        <f>Bovespa!BP63</f>
        <v>HAGA3</v>
      </c>
      <c r="B59" s="13">
        <v>1.95</v>
      </c>
      <c r="C59" s="13">
        <v>1.98</v>
      </c>
      <c r="D59" s="13">
        <v>1.94</v>
      </c>
      <c r="E59" s="13">
        <f ca="1">Bovespa!BO63</f>
        <v>2.04</v>
      </c>
      <c r="F59" s="13">
        <v>2.04</v>
      </c>
    </row>
    <row r="60" spans="1:6" x14ac:dyDescent="0.25">
      <c r="A60" s="13" t="str">
        <f>Bovespa!BP64</f>
        <v>BRAV3</v>
      </c>
      <c r="B60" s="13">
        <v>17.989999999999998</v>
      </c>
      <c r="C60" s="13">
        <v>17.79</v>
      </c>
      <c r="D60" s="13">
        <v>18.739999999999998</v>
      </c>
      <c r="E60" s="13">
        <f ca="1">Bovespa!BO64</f>
        <v>19.39</v>
      </c>
      <c r="F60" s="13">
        <v>19.39</v>
      </c>
    </row>
    <row r="61" spans="1:6" x14ac:dyDescent="0.25">
      <c r="A61" s="13" t="str">
        <f>Bovespa!BP65</f>
        <v>MILS3</v>
      </c>
      <c r="B61" s="13">
        <v>11.49</v>
      </c>
      <c r="C61" s="13">
        <v>11.25</v>
      </c>
      <c r="D61" s="13">
        <v>11.16</v>
      </c>
      <c r="E61" s="13">
        <f ca="1">Bovespa!BO65</f>
        <v>11.36</v>
      </c>
      <c r="F61" s="13">
        <v>11.36</v>
      </c>
    </row>
    <row r="62" spans="1:6" x14ac:dyDescent="0.25">
      <c r="A62" s="13" t="str">
        <f>Bovespa!BP66</f>
        <v>STBP3</v>
      </c>
      <c r="B62" s="13">
        <v>13.76</v>
      </c>
      <c r="C62" s="13">
        <v>13.82</v>
      </c>
      <c r="D62" s="13">
        <v>13.86</v>
      </c>
      <c r="E62" s="13">
        <f ca="1">Bovespa!BO66</f>
        <v>13.96</v>
      </c>
      <c r="F62" s="13">
        <v>13.96</v>
      </c>
    </row>
    <row r="63" spans="1:6" x14ac:dyDescent="0.25">
      <c r="A63" s="13" t="str">
        <f>Bovespa!BP67</f>
        <v>VBBR3</v>
      </c>
      <c r="B63" s="13">
        <v>22.59</v>
      </c>
      <c r="C63" s="13">
        <v>21.74</v>
      </c>
      <c r="D63" s="13">
        <v>20.239999999999998</v>
      </c>
      <c r="E63" s="13">
        <f ca="1">Bovespa!BO67</f>
        <v>21.2</v>
      </c>
      <c r="F63" s="13">
        <v>21.2</v>
      </c>
    </row>
    <row r="64" spans="1:6" x14ac:dyDescent="0.25">
      <c r="A64" s="13" t="str">
        <f>Bovespa!BP68</f>
        <v>FRAS3</v>
      </c>
      <c r="B64" s="13">
        <v>27.74</v>
      </c>
      <c r="C64" s="13">
        <v>23.91</v>
      </c>
      <c r="D64" s="13">
        <v>23.75</v>
      </c>
      <c r="E64" s="13">
        <f ca="1">Bovespa!BO68</f>
        <v>23.65</v>
      </c>
      <c r="F64" s="13">
        <v>23.65</v>
      </c>
    </row>
    <row r="65" spans="1:6" x14ac:dyDescent="0.25">
      <c r="A65" s="13" t="str">
        <f>Bovespa!BP69</f>
        <v>ALUP4</v>
      </c>
      <c r="B65" s="13">
        <v>9.86</v>
      </c>
      <c r="C65" s="13">
        <v>9.6199999999999992</v>
      </c>
      <c r="D65" s="13">
        <v>9.5500000000000007</v>
      </c>
      <c r="E65" s="13">
        <f ca="1">Bovespa!BO69</f>
        <v>9.4600000000000009</v>
      </c>
      <c r="F65" s="13">
        <v>9.4600000000000009</v>
      </c>
    </row>
    <row r="66" spans="1:6" x14ac:dyDescent="0.25">
      <c r="A66" s="13" t="str">
        <f>Bovespa!BP70</f>
        <v>TRIS3</v>
      </c>
      <c r="B66" s="13">
        <v>6.96</v>
      </c>
      <c r="C66" s="13">
        <v>6.7</v>
      </c>
      <c r="D66" s="13">
        <v>6.3</v>
      </c>
      <c r="E66" s="13">
        <f ca="1">Bovespa!BO70</f>
        <v>6.4</v>
      </c>
      <c r="F66" s="13">
        <v>6.4</v>
      </c>
    </row>
    <row r="67" spans="1:6" x14ac:dyDescent="0.25">
      <c r="A67" s="13" t="str">
        <f>Bovespa!BP71</f>
        <v>TGMA3</v>
      </c>
      <c r="B67" s="13">
        <v>36.72</v>
      </c>
      <c r="C67" s="13">
        <v>35.340000000000003</v>
      </c>
      <c r="D67" s="13">
        <v>33.82</v>
      </c>
      <c r="E67" s="13">
        <f ca="1">Bovespa!BO71</f>
        <v>37.229999999999997</v>
      </c>
      <c r="F67" s="13">
        <v>37.229999999999997</v>
      </c>
    </row>
    <row r="68" spans="1:6" x14ac:dyDescent="0.25">
      <c r="A68" s="13" t="str">
        <f>Bovespa!BP72</f>
        <v>REDE3</v>
      </c>
      <c r="B68" s="13">
        <v>6.7</v>
      </c>
      <c r="C68" s="13">
        <v>6.61</v>
      </c>
      <c r="D68" s="13">
        <v>6.55</v>
      </c>
      <c r="E68" s="13">
        <f ca="1">Bovespa!BO72</f>
        <v>6.28</v>
      </c>
      <c r="F68" s="13">
        <v>6.28</v>
      </c>
    </row>
    <row r="69" spans="1:6" x14ac:dyDescent="0.25">
      <c r="A69" s="13" t="str">
        <f>Bovespa!BP73</f>
        <v>RNEW3</v>
      </c>
      <c r="B69" s="13">
        <v>0.97</v>
      </c>
      <c r="C69" s="13">
        <v>0.98</v>
      </c>
      <c r="D69" s="13">
        <v>1.4</v>
      </c>
      <c r="E69" s="13">
        <f ca="1">Bovespa!BO73</f>
        <v>1.21</v>
      </c>
      <c r="F69" s="13">
        <v>1.21</v>
      </c>
    </row>
    <row r="70" spans="1:6" x14ac:dyDescent="0.25">
      <c r="A70" s="13" t="str">
        <f>Bovespa!BP74</f>
        <v>CVCB3</v>
      </c>
      <c r="B70" s="13">
        <v>2.4900000000000002</v>
      </c>
      <c r="C70" s="13">
        <v>2.37</v>
      </c>
      <c r="D70" s="13">
        <v>2.39</v>
      </c>
      <c r="E70" s="13">
        <f ca="1">Bovespa!BO74</f>
        <v>2.35</v>
      </c>
      <c r="F70" s="13">
        <v>2.35</v>
      </c>
    </row>
    <row r="71" spans="1:6" x14ac:dyDescent="0.25">
      <c r="A71" s="13" t="str">
        <f>Bovespa!BP75</f>
        <v>ORVR3</v>
      </c>
      <c r="B71" s="13">
        <v>53.6</v>
      </c>
      <c r="C71" s="13">
        <v>51.22</v>
      </c>
      <c r="D71" s="13">
        <v>49</v>
      </c>
      <c r="E71" s="13">
        <f ca="1">Bovespa!BO75</f>
        <v>47.93</v>
      </c>
      <c r="F71" s="13">
        <v>47.93</v>
      </c>
    </row>
    <row r="72" spans="1:6" x14ac:dyDescent="0.25">
      <c r="A72" s="13" t="str">
        <f>Bovespa!BP76</f>
        <v>IRBR3</v>
      </c>
      <c r="B72" s="13">
        <v>46.6</v>
      </c>
      <c r="C72" s="13">
        <v>44.36</v>
      </c>
      <c r="D72" s="13">
        <v>44.2</v>
      </c>
      <c r="E72" s="13">
        <f ca="1">Bovespa!BO76</f>
        <v>44.32</v>
      </c>
      <c r="F72" s="13">
        <v>44.32</v>
      </c>
    </row>
    <row r="73" spans="1:6" x14ac:dyDescent="0.25">
      <c r="A73" s="13" t="str">
        <f>Bovespa!BP77</f>
        <v>EALT4</v>
      </c>
      <c r="B73" s="13">
        <v>14.5</v>
      </c>
      <c r="C73" s="13">
        <v>14.3</v>
      </c>
      <c r="D73" s="13">
        <v>14.14</v>
      </c>
      <c r="E73" s="13">
        <f ca="1">Bovespa!BO77</f>
        <v>12.98</v>
      </c>
      <c r="F73" s="13">
        <v>12.98</v>
      </c>
    </row>
    <row r="74" spans="1:6" x14ac:dyDescent="0.25">
      <c r="A74" s="13" t="str">
        <f>Bovespa!BP78</f>
        <v>GRND3</v>
      </c>
      <c r="B74" s="13">
        <v>5.46</v>
      </c>
      <c r="C74" s="13">
        <v>5.31</v>
      </c>
      <c r="D74" s="13">
        <v>5.0999999999999996</v>
      </c>
      <c r="E74" s="13">
        <f ca="1">Bovespa!BO78</f>
        <v>5.03</v>
      </c>
      <c r="F74" s="13">
        <v>5.03</v>
      </c>
    </row>
    <row r="75" spans="1:6" x14ac:dyDescent="0.25">
      <c r="A75" s="13" t="str">
        <f>Bovespa!BP79</f>
        <v>BPAN4</v>
      </c>
      <c r="B75" s="13">
        <v>7.8</v>
      </c>
      <c r="C75" s="13">
        <v>7.43</v>
      </c>
      <c r="D75" s="13">
        <v>7.6</v>
      </c>
      <c r="E75" s="13">
        <f ca="1">Bovespa!BO79</f>
        <v>7.73</v>
      </c>
      <c r="F75" s="13">
        <v>7.73</v>
      </c>
    </row>
    <row r="76" spans="1:6" x14ac:dyDescent="0.25">
      <c r="A76" s="13" t="str">
        <f>Bovespa!BP80</f>
        <v>WEGE3</v>
      </c>
      <c r="B76" s="13">
        <v>43</v>
      </c>
      <c r="C76" s="13">
        <v>39.450000000000003</v>
      </c>
      <c r="D76" s="13">
        <v>42.37</v>
      </c>
      <c r="E76" s="13">
        <f ca="1">Bovespa!BO80</f>
        <v>37.18</v>
      </c>
      <c r="F76" s="13">
        <v>37.18</v>
      </c>
    </row>
    <row r="77" spans="1:6" x14ac:dyDescent="0.25">
      <c r="A77" s="13" t="str">
        <f>Bovespa!BP81</f>
        <v>EGIE3</v>
      </c>
      <c r="B77" s="13">
        <v>46.3</v>
      </c>
      <c r="C77" s="13">
        <v>41.6</v>
      </c>
      <c r="D77" s="13">
        <v>41.71</v>
      </c>
      <c r="E77" s="13">
        <f ca="1">Bovespa!BO81</f>
        <v>40.200000000000003</v>
      </c>
      <c r="F77" s="13">
        <v>40.200000000000003</v>
      </c>
    </row>
    <row r="78" spans="1:6" x14ac:dyDescent="0.25">
      <c r="A78" s="13" t="str">
        <f>Bovespa!BP82</f>
        <v>JBSS3</v>
      </c>
      <c r="B78" s="13">
        <v>39.03</v>
      </c>
      <c r="C78" s="13">
        <v>39.03</v>
      </c>
      <c r="D78" s="13">
        <v>39.03</v>
      </c>
      <c r="E78" s="13">
        <f ca="1">Bovespa!BO82</f>
        <v>39.03</v>
      </c>
      <c r="F78" s="13">
        <v>39.03</v>
      </c>
    </row>
    <row r="79" spans="1:6" x14ac:dyDescent="0.25">
      <c r="A79" s="13" t="str">
        <f>Bovespa!BP83</f>
        <v>PFRM3</v>
      </c>
      <c r="B79" s="13">
        <v>8.4700000000000006</v>
      </c>
      <c r="C79" s="13">
        <v>8.2899999999999991</v>
      </c>
      <c r="D79" s="13">
        <v>8.02</v>
      </c>
      <c r="E79" s="13">
        <f ca="1">Bovespa!BO83</f>
        <v>7.39</v>
      </c>
      <c r="F79" s="13">
        <v>7.39</v>
      </c>
    </row>
    <row r="80" spans="1:6" x14ac:dyDescent="0.25">
      <c r="A80" s="13" t="str">
        <f>Bovespa!BP84</f>
        <v>EQTL3</v>
      </c>
      <c r="B80" s="13">
        <v>36.07</v>
      </c>
      <c r="C80" s="13">
        <v>34.340000000000003</v>
      </c>
      <c r="D80" s="13">
        <v>34.22</v>
      </c>
      <c r="E80" s="13">
        <f ca="1">Bovespa!BO84</f>
        <v>34.33</v>
      </c>
      <c r="F80" s="13">
        <v>34.33</v>
      </c>
    </row>
    <row r="81" spans="1:6" x14ac:dyDescent="0.25">
      <c r="A81" s="13" t="str">
        <f>Bovespa!BP85</f>
        <v>NEOE3</v>
      </c>
      <c r="B81" s="13">
        <v>25.96</v>
      </c>
      <c r="C81" s="13">
        <v>24.23</v>
      </c>
      <c r="D81" s="13">
        <v>23.5</v>
      </c>
      <c r="E81" s="13">
        <f ca="1">Bovespa!BO85</f>
        <v>24.76</v>
      </c>
      <c r="F81" s="13">
        <v>24.76</v>
      </c>
    </row>
    <row r="82" spans="1:6" x14ac:dyDescent="0.25">
      <c r="A82" s="13" t="str">
        <f>Bovespa!BP86</f>
        <v>POSI3</v>
      </c>
      <c r="B82" s="13">
        <v>4.67</v>
      </c>
      <c r="C82" s="13">
        <v>4.62</v>
      </c>
      <c r="D82" s="13">
        <v>4.3899999999999997</v>
      </c>
      <c r="E82" s="13">
        <f ca="1">Bovespa!BO86</f>
        <v>3.97</v>
      </c>
      <c r="F82" s="13">
        <v>3.97</v>
      </c>
    </row>
    <row r="83" spans="1:6" x14ac:dyDescent="0.25">
      <c r="A83" s="13" t="str">
        <f>Bovespa!BP87</f>
        <v>WEST3</v>
      </c>
      <c r="B83" s="13">
        <v>3.67</v>
      </c>
      <c r="C83" s="13">
        <v>3.57</v>
      </c>
      <c r="D83" s="13">
        <v>3.63</v>
      </c>
      <c r="E83" s="13">
        <f ca="1">Bovespa!BO87</f>
        <v>4.24</v>
      </c>
      <c r="F83" s="13">
        <v>4.24</v>
      </c>
    </row>
    <row r="84" spans="1:6" x14ac:dyDescent="0.25">
      <c r="A84" s="13" t="str">
        <f>Bovespa!BP88</f>
        <v>MDIA3</v>
      </c>
      <c r="B84" s="13">
        <v>24.44</v>
      </c>
      <c r="C84" s="13">
        <v>26.75</v>
      </c>
      <c r="D84" s="13">
        <v>24.73</v>
      </c>
      <c r="E84" s="13">
        <f ca="1">Bovespa!BO88</f>
        <v>24.17</v>
      </c>
      <c r="F84" s="13">
        <v>24.17</v>
      </c>
    </row>
    <row r="85" spans="1:6" x14ac:dyDescent="0.25">
      <c r="A85" s="13" t="str">
        <f>Bovespa!BP89</f>
        <v>BBDC4</v>
      </c>
      <c r="B85" s="13">
        <v>16.670000000000002</v>
      </c>
      <c r="C85" s="13">
        <v>16.05</v>
      </c>
      <c r="D85" s="13">
        <v>15.67</v>
      </c>
      <c r="E85" s="13">
        <f ca="1">Bovespa!BO89</f>
        <v>15.56</v>
      </c>
      <c r="F85" s="13">
        <v>15.56</v>
      </c>
    </row>
    <row r="86" spans="1:6" x14ac:dyDescent="0.25">
      <c r="A86" s="13" t="str">
        <f>Bovespa!BP90</f>
        <v>PSSA3</v>
      </c>
      <c r="B86" s="13">
        <v>56.66</v>
      </c>
      <c r="C86" s="13">
        <v>52.35</v>
      </c>
      <c r="D86" s="13">
        <v>51.81</v>
      </c>
      <c r="E86" s="13">
        <f ca="1">Bovespa!BO90</f>
        <v>52.27</v>
      </c>
      <c r="F86" s="13">
        <v>52.27</v>
      </c>
    </row>
    <row r="87" spans="1:6" x14ac:dyDescent="0.25">
      <c r="A87" s="13" t="str">
        <f>Bovespa!BP91</f>
        <v>RNEW4</v>
      </c>
      <c r="B87" s="13">
        <v>0.95</v>
      </c>
      <c r="C87" s="13">
        <v>0.99</v>
      </c>
      <c r="D87" s="13">
        <v>1.31</v>
      </c>
      <c r="E87" s="13">
        <f ca="1">Bovespa!BO91</f>
        <v>1.1499999999999999</v>
      </c>
      <c r="F87" s="13">
        <v>1.1499999999999999</v>
      </c>
    </row>
    <row r="88" spans="1:6" x14ac:dyDescent="0.25">
      <c r="A88" s="13" t="str">
        <f>Bovespa!BP92</f>
        <v>UNIP6</v>
      </c>
      <c r="B88" s="13">
        <v>59.74</v>
      </c>
      <c r="C88" s="13">
        <v>58.9</v>
      </c>
      <c r="D88" s="13">
        <v>56.17</v>
      </c>
      <c r="E88" s="13">
        <f ca="1">Bovespa!BO92</f>
        <v>55.13</v>
      </c>
      <c r="F88" s="13">
        <v>55.13</v>
      </c>
    </row>
    <row r="89" spans="1:6" x14ac:dyDescent="0.25">
      <c r="A89" s="13" t="str">
        <f>Bovespa!BP93</f>
        <v>EZTC3</v>
      </c>
      <c r="B89" s="13">
        <v>14.02</v>
      </c>
      <c r="C89" s="13">
        <v>13.26</v>
      </c>
      <c r="D89" s="13">
        <v>13.09</v>
      </c>
      <c r="E89" s="13">
        <f ca="1">Bovespa!BO93</f>
        <v>14.13</v>
      </c>
      <c r="F89" s="13">
        <v>14.13</v>
      </c>
    </row>
    <row r="90" spans="1:6" x14ac:dyDescent="0.25">
      <c r="A90" s="13" t="str">
        <f>Bovespa!BP94</f>
        <v>SUZB3</v>
      </c>
      <c r="B90" s="13">
        <v>51.95</v>
      </c>
      <c r="C90" s="13">
        <v>49.74</v>
      </c>
      <c r="D90" s="13">
        <v>50.61</v>
      </c>
      <c r="E90" s="13">
        <f ca="1">Bovespa!BO94</f>
        <v>51.74</v>
      </c>
      <c r="F90" s="13">
        <v>51.74</v>
      </c>
    </row>
    <row r="91" spans="1:6" x14ac:dyDescent="0.25">
      <c r="A91" s="13" t="str">
        <f>Bovespa!BP95</f>
        <v>BMEB4</v>
      </c>
      <c r="B91" s="13">
        <v>39.5</v>
      </c>
      <c r="C91" s="13">
        <v>39.159999999999997</v>
      </c>
      <c r="D91" s="13">
        <v>38.61</v>
      </c>
      <c r="E91" s="13">
        <f ca="1">Bovespa!BO95</f>
        <v>41.5</v>
      </c>
      <c r="F91" s="13">
        <v>41.5</v>
      </c>
    </row>
    <row r="92" spans="1:6" x14ac:dyDescent="0.25">
      <c r="A92" s="13" t="str">
        <f>Bovespa!BP96</f>
        <v>CPLE3</v>
      </c>
      <c r="B92" s="13">
        <v>11.55</v>
      </c>
      <c r="C92" s="13">
        <v>11.21</v>
      </c>
      <c r="D92" s="13">
        <v>11.11</v>
      </c>
      <c r="E92" s="13">
        <f ca="1">Bovespa!BO96</f>
        <v>11.18</v>
      </c>
      <c r="F92" s="13">
        <v>11.18</v>
      </c>
    </row>
    <row r="93" spans="1:6" x14ac:dyDescent="0.25">
      <c r="A93" s="13" t="str">
        <f>Bovespa!BP97</f>
        <v>PETR3</v>
      </c>
      <c r="B93" s="13">
        <v>35.15</v>
      </c>
      <c r="C93" s="13">
        <v>35.54</v>
      </c>
      <c r="D93" s="13">
        <v>33.64</v>
      </c>
      <c r="E93" s="13">
        <f ca="1">Bovespa!BO97</f>
        <v>35.28</v>
      </c>
      <c r="F93" s="13">
        <v>35.28</v>
      </c>
    </row>
    <row r="94" spans="1:6" x14ac:dyDescent="0.25">
      <c r="A94" s="13" t="str">
        <f>Bovespa!BP98</f>
        <v>BBDC3</v>
      </c>
      <c r="B94" s="13">
        <v>14.41</v>
      </c>
      <c r="C94" s="13">
        <v>13.83</v>
      </c>
      <c r="D94" s="13">
        <v>13.45</v>
      </c>
      <c r="E94" s="13">
        <f ca="1">Bovespa!BO98</f>
        <v>13.38</v>
      </c>
      <c r="F94" s="13">
        <v>13.38</v>
      </c>
    </row>
    <row r="95" spans="1:6" x14ac:dyDescent="0.25">
      <c r="A95" s="13" t="str">
        <f>Bovespa!BP99</f>
        <v>POMO4</v>
      </c>
      <c r="B95" s="13">
        <v>8.15</v>
      </c>
      <c r="C95" s="13">
        <v>8.0299999999999994</v>
      </c>
      <c r="D95" s="13">
        <v>8.15</v>
      </c>
      <c r="E95" s="13">
        <f ca="1">Bovespa!BO99</f>
        <v>8.89</v>
      </c>
      <c r="F95" s="13">
        <v>8.89</v>
      </c>
    </row>
    <row r="96" spans="1:6" x14ac:dyDescent="0.25">
      <c r="A96" s="13" t="str">
        <f>Bovespa!BP100</f>
        <v>VALE3</v>
      </c>
      <c r="B96" s="13">
        <v>55.2</v>
      </c>
      <c r="C96" s="13">
        <v>56</v>
      </c>
      <c r="D96" s="13">
        <v>54.56</v>
      </c>
      <c r="E96" s="13">
        <f ca="1">Bovespa!BO100</f>
        <v>53.75</v>
      </c>
      <c r="F96" s="13">
        <v>53.75</v>
      </c>
    </row>
    <row r="97" spans="1:6" x14ac:dyDescent="0.25">
      <c r="A97" s="13" t="str">
        <f>Bovespa!BP101</f>
        <v>RADL3</v>
      </c>
      <c r="B97" s="13">
        <v>15.3</v>
      </c>
      <c r="C97" s="13">
        <v>13.76</v>
      </c>
      <c r="D97" s="13">
        <v>13.53</v>
      </c>
      <c r="E97" s="13">
        <f ca="1">Bovespa!BO101</f>
        <v>13.7</v>
      </c>
      <c r="F97" s="13">
        <v>13.7</v>
      </c>
    </row>
    <row r="98" spans="1:6" x14ac:dyDescent="0.25">
      <c r="A98" s="13" t="str">
        <f>Bovespa!BP102</f>
        <v>GGPS3</v>
      </c>
      <c r="B98" s="13">
        <v>16.41</v>
      </c>
      <c r="C98" s="13">
        <v>15.71</v>
      </c>
      <c r="D98" s="13">
        <v>15.13</v>
      </c>
      <c r="E98" s="13">
        <f ca="1">Bovespa!BO102</f>
        <v>14.33</v>
      </c>
      <c r="F98" s="13">
        <v>14.33</v>
      </c>
    </row>
    <row r="99" spans="1:6" x14ac:dyDescent="0.25">
      <c r="A99" s="13" t="str">
        <f>Bovespa!BP103</f>
        <v>HBSA3</v>
      </c>
      <c r="B99" s="13">
        <v>3.53</v>
      </c>
      <c r="C99" s="13">
        <v>3.47</v>
      </c>
      <c r="D99" s="13">
        <v>3.62</v>
      </c>
      <c r="E99" s="13">
        <f ca="1">Bovespa!BO103</f>
        <v>3.59</v>
      </c>
      <c r="F99" s="13">
        <v>3.59</v>
      </c>
    </row>
    <row r="100" spans="1:6" x14ac:dyDescent="0.25">
      <c r="A100" s="13" t="str">
        <f>Bovespa!BP104</f>
        <v>CCRO3</v>
      </c>
      <c r="B100" s="13">
        <v>13.79</v>
      </c>
      <c r="C100" s="13">
        <v>12.94</v>
      </c>
      <c r="D100" s="13">
        <v>12.55</v>
      </c>
      <c r="E100" s="13">
        <f ca="1">Bovespa!BO104</f>
        <v>12.5</v>
      </c>
      <c r="F100" s="13">
        <v>12.5</v>
      </c>
    </row>
    <row r="101" spans="1:6" x14ac:dyDescent="0.25">
      <c r="A101" s="13" t="str">
        <f>Bovespa!BP105</f>
        <v>MELK3</v>
      </c>
      <c r="B101" s="13">
        <v>3.47</v>
      </c>
      <c r="C101" s="13">
        <v>3.48</v>
      </c>
      <c r="D101" s="13">
        <v>3.35</v>
      </c>
      <c r="E101" s="13">
        <f ca="1">Bovespa!BO105</f>
        <v>3.31</v>
      </c>
      <c r="F101" s="13">
        <v>3.31</v>
      </c>
    </row>
    <row r="102" spans="1:6" x14ac:dyDescent="0.25">
      <c r="A102" s="13" t="str">
        <f>Bovespa!BP106</f>
        <v>CPFE3</v>
      </c>
      <c r="B102" s="13">
        <v>40.98</v>
      </c>
      <c r="C102" s="13">
        <v>38.06</v>
      </c>
      <c r="D102" s="13">
        <v>38.18</v>
      </c>
      <c r="E102" s="13">
        <f ca="1">Bovespa!BO106</f>
        <v>37.93</v>
      </c>
      <c r="F102" s="13">
        <v>37.93</v>
      </c>
    </row>
    <row r="103" spans="1:6" x14ac:dyDescent="0.25">
      <c r="A103" s="13" t="str">
        <f>Bovespa!BP107</f>
        <v>SBSP3</v>
      </c>
      <c r="B103" s="13">
        <v>117.82</v>
      </c>
      <c r="C103" s="13">
        <v>111.63</v>
      </c>
      <c r="D103" s="13">
        <v>110.68</v>
      </c>
      <c r="E103" s="13">
        <f ca="1">Bovespa!BO107</f>
        <v>108.87</v>
      </c>
      <c r="F103" s="13">
        <v>108.87</v>
      </c>
    </row>
    <row r="104" spans="1:6" x14ac:dyDescent="0.25">
      <c r="A104" s="13" t="str">
        <f>Bovespa!BP108</f>
        <v>SOJA3</v>
      </c>
      <c r="B104" s="13">
        <v>11.57</v>
      </c>
      <c r="C104" s="13">
        <v>11.17</v>
      </c>
      <c r="D104" s="13">
        <v>10.27</v>
      </c>
      <c r="E104" s="13">
        <f ca="1">Bovespa!BO108</f>
        <v>10.36</v>
      </c>
      <c r="F104" s="13">
        <v>10.36</v>
      </c>
    </row>
    <row r="105" spans="1:6" x14ac:dyDescent="0.25">
      <c r="A105" s="13" t="str">
        <f>Bovespa!BP109</f>
        <v>PTNT4</v>
      </c>
      <c r="B105" s="13">
        <v>5.05</v>
      </c>
      <c r="C105" s="13">
        <v>4.76</v>
      </c>
      <c r="D105" s="13">
        <v>4.62</v>
      </c>
      <c r="E105" s="13">
        <f ca="1">Bovespa!BO109</f>
        <v>4.6100000000000003</v>
      </c>
      <c r="F105" s="13">
        <v>4.6100000000000003</v>
      </c>
    </row>
    <row r="106" spans="1:6" x14ac:dyDescent="0.25">
      <c r="A106" s="13" t="str">
        <f>Bovespa!BP110</f>
        <v>DESK3</v>
      </c>
      <c r="B106" s="13">
        <v>9.51</v>
      </c>
      <c r="C106" s="13">
        <v>9</v>
      </c>
      <c r="D106" s="13">
        <v>8.1199999999999992</v>
      </c>
      <c r="E106" s="13">
        <f ca="1">Bovespa!BO110</f>
        <v>8.1199999999999992</v>
      </c>
      <c r="F106" s="13">
        <v>8.1199999999999992</v>
      </c>
    </row>
    <row r="107" spans="1:6" x14ac:dyDescent="0.25">
      <c r="A107" s="13" t="str">
        <f>Bovespa!BP111</f>
        <v>IGTI3</v>
      </c>
      <c r="B107" s="13">
        <v>2.8</v>
      </c>
      <c r="C107" s="13">
        <v>2.64</v>
      </c>
      <c r="D107" s="13">
        <v>2.48</v>
      </c>
      <c r="E107" s="13">
        <f ca="1">Bovespa!BO111</f>
        <v>2.44</v>
      </c>
      <c r="F107" s="13">
        <v>2.44</v>
      </c>
    </row>
    <row r="108" spans="1:6" x14ac:dyDescent="0.25">
      <c r="A108" s="13" t="str">
        <f>Bovespa!BP112</f>
        <v>IGTI3</v>
      </c>
      <c r="B108" s="13">
        <v>2.8</v>
      </c>
      <c r="C108" s="13">
        <v>2.64</v>
      </c>
      <c r="D108" s="13">
        <v>2.48</v>
      </c>
      <c r="E108" s="13">
        <f ca="1">Bovespa!BO112</f>
        <v>2.44</v>
      </c>
      <c r="F108" s="13">
        <v>2.44</v>
      </c>
    </row>
    <row r="109" spans="1:6" x14ac:dyDescent="0.25">
      <c r="A109" s="13" t="str">
        <f>Bovespa!BP113</f>
        <v>KEPL3</v>
      </c>
      <c r="B109" s="13">
        <v>7.56</v>
      </c>
      <c r="C109" s="13">
        <v>7.56</v>
      </c>
      <c r="D109" s="13">
        <v>7.56</v>
      </c>
      <c r="E109" s="13">
        <f>Bovespa!BO113</f>
        <v>7.56</v>
      </c>
      <c r="F109" s="13">
        <v>7.56</v>
      </c>
    </row>
    <row r="110" spans="1:6" x14ac:dyDescent="0.25">
      <c r="A110" s="13" t="str">
        <f>Bovespa!BP114</f>
        <v>LREN3</v>
      </c>
      <c r="B110" s="13">
        <v>19.34</v>
      </c>
      <c r="C110" s="13">
        <v>18.600000000000001</v>
      </c>
      <c r="D110" s="13">
        <v>17.73</v>
      </c>
      <c r="E110" s="13">
        <f ca="1">Bovespa!BO114</f>
        <v>16.489999999999998</v>
      </c>
      <c r="F110" s="13">
        <v>16.489999999999998</v>
      </c>
    </row>
    <row r="111" spans="1:6" x14ac:dyDescent="0.25">
      <c r="A111" s="13" t="str">
        <f>Bovespa!BP115</f>
        <v>MRFG3</v>
      </c>
      <c r="B111" s="13">
        <v>22.23</v>
      </c>
      <c r="C111" s="13">
        <v>23</v>
      </c>
      <c r="D111" s="13">
        <v>22.64</v>
      </c>
      <c r="E111" s="13">
        <f ca="1">Bovespa!BO115</f>
        <v>21.42</v>
      </c>
      <c r="F111" s="13">
        <v>21.42</v>
      </c>
    </row>
    <row r="112" spans="1:6" x14ac:dyDescent="0.25">
      <c r="A112" s="13" t="str">
        <f>Bovespa!BP116</f>
        <v>JFEN3</v>
      </c>
      <c r="B112" s="13">
        <v>1.83</v>
      </c>
      <c r="C112" s="13">
        <v>1.74</v>
      </c>
      <c r="D112" s="13">
        <v>1.56</v>
      </c>
      <c r="E112" s="13">
        <f ca="1">Bovespa!BO116</f>
        <v>1.56</v>
      </c>
      <c r="F112" s="13">
        <v>1.56</v>
      </c>
    </row>
    <row r="113" spans="1:6" x14ac:dyDescent="0.25">
      <c r="A113" s="13" t="str">
        <f>Bovespa!BP117</f>
        <v>USIM3</v>
      </c>
      <c r="B113" s="13">
        <v>4.45</v>
      </c>
      <c r="C113" s="13">
        <v>4.37</v>
      </c>
      <c r="D113" s="13">
        <v>4.0199999999999996</v>
      </c>
      <c r="E113" s="13">
        <f ca="1">Bovespa!BO117</f>
        <v>4.59</v>
      </c>
      <c r="F113" s="13">
        <v>4.59</v>
      </c>
    </row>
    <row r="114" spans="1:6" x14ac:dyDescent="0.25">
      <c r="A114" s="13" t="str">
        <f>Bovespa!BP118</f>
        <v>CURY3</v>
      </c>
      <c r="B114" s="13">
        <v>29.95</v>
      </c>
      <c r="C114" s="13">
        <v>29.75</v>
      </c>
      <c r="D114" s="13">
        <v>29.81</v>
      </c>
      <c r="E114" s="13">
        <f ca="1">Bovespa!BO118</f>
        <v>30.1</v>
      </c>
      <c r="F114" s="13">
        <v>30.1</v>
      </c>
    </row>
    <row r="115" spans="1:6" x14ac:dyDescent="0.25">
      <c r="A115" s="13" t="str">
        <f>Bovespa!BP119</f>
        <v>UGPA3</v>
      </c>
      <c r="B115" s="13">
        <v>17.989999999999998</v>
      </c>
      <c r="C115" s="13">
        <v>17.100000000000001</v>
      </c>
      <c r="D115" s="13">
        <v>15.7</v>
      </c>
      <c r="E115" s="13">
        <f ca="1">Bovespa!BO119</f>
        <v>16.920000000000002</v>
      </c>
      <c r="F115" s="13">
        <v>16.920000000000002</v>
      </c>
    </row>
    <row r="116" spans="1:6" x14ac:dyDescent="0.25">
      <c r="A116" s="13" t="str">
        <f>Bovespa!BP120</f>
        <v>DXCO3</v>
      </c>
      <c r="B116" s="13">
        <v>5.72</v>
      </c>
      <c r="C116" s="13">
        <v>5.35</v>
      </c>
      <c r="D116" s="13">
        <v>5.14</v>
      </c>
      <c r="E116" s="13">
        <f ca="1">Bovespa!BO120</f>
        <v>5.61</v>
      </c>
      <c r="F116" s="13">
        <v>5.61</v>
      </c>
    </row>
    <row r="117" spans="1:6" x14ac:dyDescent="0.25">
      <c r="A117" s="13" t="str">
        <f>Bovespa!BP121</f>
        <v>TEND3</v>
      </c>
      <c r="B117" s="13">
        <v>24.28</v>
      </c>
      <c r="C117" s="13">
        <v>22.85</v>
      </c>
      <c r="D117" s="13">
        <v>22.48</v>
      </c>
      <c r="E117" s="13">
        <f ca="1">Bovespa!BO121</f>
        <v>22.09</v>
      </c>
      <c r="F117" s="13">
        <v>22.09</v>
      </c>
    </row>
    <row r="118" spans="1:6" x14ac:dyDescent="0.25">
      <c r="A118" s="13" t="str">
        <f>Bovespa!BP122</f>
        <v>ELET3</v>
      </c>
      <c r="B118" s="13">
        <v>40.96</v>
      </c>
      <c r="C118" s="13">
        <v>39.31</v>
      </c>
      <c r="D118" s="13">
        <v>38.96</v>
      </c>
      <c r="E118" s="13">
        <f ca="1">Bovespa!BO122</f>
        <v>37.880000000000003</v>
      </c>
      <c r="F118" s="13">
        <v>37.880000000000003</v>
      </c>
    </row>
    <row r="119" spans="1:6" x14ac:dyDescent="0.25">
      <c r="A119" s="13" t="str">
        <f>Bovespa!BP123</f>
        <v>WIZC3</v>
      </c>
      <c r="B119" s="13">
        <v>7.78</v>
      </c>
      <c r="C119" s="13">
        <v>7.71</v>
      </c>
      <c r="D119" s="13">
        <v>7.37</v>
      </c>
      <c r="E119" s="13">
        <f ca="1">Bovespa!BO123</f>
        <v>7.44</v>
      </c>
      <c r="F119" s="13">
        <v>7.44</v>
      </c>
    </row>
    <row r="120" spans="1:6" x14ac:dyDescent="0.25">
      <c r="A120" s="13" t="str">
        <f>Bovespa!BP124</f>
        <v>SAPR4</v>
      </c>
      <c r="B120" s="13">
        <v>7.41</v>
      </c>
      <c r="C120" s="13">
        <v>7.23</v>
      </c>
      <c r="D120" s="13">
        <v>6.98</v>
      </c>
      <c r="E120" s="13">
        <f ca="1">Bovespa!BO124</f>
        <v>6.58</v>
      </c>
      <c r="F120" s="13">
        <v>6.58</v>
      </c>
    </row>
    <row r="121" spans="1:6" x14ac:dyDescent="0.25">
      <c r="A121" s="13" t="str">
        <f>Bovespa!BP125</f>
        <v>NTCO3</v>
      </c>
      <c r="B121" s="13">
        <v>10.51</v>
      </c>
      <c r="C121" s="13">
        <v>9.7899999999999991</v>
      </c>
      <c r="D121" s="13">
        <v>9.51</v>
      </c>
      <c r="E121" s="13">
        <f ca="1">Bovespa!BO125</f>
        <v>8.91</v>
      </c>
      <c r="F121" s="13">
        <v>8.91</v>
      </c>
    </row>
    <row r="122" spans="1:6" x14ac:dyDescent="0.25">
      <c r="A122" s="13" t="str">
        <f>Bovespa!BP126</f>
        <v>EVEN3</v>
      </c>
      <c r="B122" s="13">
        <v>7.31</v>
      </c>
      <c r="C122" s="13">
        <v>7.22</v>
      </c>
      <c r="D122" s="13">
        <v>7.01</v>
      </c>
      <c r="E122" s="13">
        <f ca="1">Bovespa!BO126</f>
        <v>6.95</v>
      </c>
      <c r="F122" s="13">
        <v>6.95</v>
      </c>
    </row>
    <row r="123" spans="1:6" x14ac:dyDescent="0.25">
      <c r="A123" s="13" t="str">
        <f>Bovespa!BP127</f>
        <v>ITUB3</v>
      </c>
      <c r="B123" s="13">
        <v>33.68</v>
      </c>
      <c r="C123" s="13">
        <v>31.6</v>
      </c>
      <c r="D123" s="13">
        <v>31.36</v>
      </c>
      <c r="E123" s="13">
        <f ca="1">Bovespa!BO127</f>
        <v>31.19</v>
      </c>
      <c r="F123" s="13">
        <v>31.19</v>
      </c>
    </row>
    <row r="124" spans="1:6" x14ac:dyDescent="0.25">
      <c r="A124" s="13" t="str">
        <f>Bovespa!BP128</f>
        <v>UCAS3</v>
      </c>
      <c r="B124" s="13">
        <v>1.45</v>
      </c>
      <c r="C124" s="13">
        <v>1.41</v>
      </c>
      <c r="D124" s="13">
        <v>1.4</v>
      </c>
      <c r="E124" s="13">
        <f ca="1">Bovespa!BO128</f>
        <v>1.4</v>
      </c>
      <c r="F124" s="13">
        <v>1.4</v>
      </c>
    </row>
    <row r="125" spans="1:6" x14ac:dyDescent="0.25">
      <c r="A125" s="13" t="str">
        <f>Bovespa!BP129</f>
        <v>USIM5</v>
      </c>
      <c r="B125" s="13">
        <v>4.47</v>
      </c>
      <c r="C125" s="13">
        <v>4.29</v>
      </c>
      <c r="D125" s="13">
        <v>3.92</v>
      </c>
      <c r="E125" s="13">
        <f ca="1">Bovespa!BO129</f>
        <v>4.3899999999999997</v>
      </c>
      <c r="F125" s="13">
        <v>4.3899999999999997</v>
      </c>
    </row>
    <row r="126" spans="1:6" x14ac:dyDescent="0.25">
      <c r="A126" s="13" t="str">
        <f>Bovespa!BP130</f>
        <v>JALL3</v>
      </c>
      <c r="B126" s="13">
        <v>3.89</v>
      </c>
      <c r="C126" s="13">
        <v>3.68</v>
      </c>
      <c r="D126" s="13">
        <v>3.57</v>
      </c>
      <c r="E126" s="13">
        <f ca="1">Bovespa!BO130</f>
        <v>3.22</v>
      </c>
      <c r="F126" s="13">
        <v>3.22</v>
      </c>
    </row>
    <row r="127" spans="1:6" x14ac:dyDescent="0.25">
      <c r="A127" s="13" t="str">
        <f>Bovespa!BP131</f>
        <v>BRAP4</v>
      </c>
      <c r="B127" s="13">
        <v>16.489999999999998</v>
      </c>
      <c r="C127" s="13">
        <v>16.66</v>
      </c>
      <c r="D127" s="13">
        <v>16.190000000000001</v>
      </c>
      <c r="E127" s="13">
        <f ca="1">Bovespa!BO131</f>
        <v>15.7</v>
      </c>
      <c r="F127" s="13">
        <v>15.7</v>
      </c>
    </row>
    <row r="128" spans="1:6" x14ac:dyDescent="0.25">
      <c r="A128" s="13" t="str">
        <f>Bovespa!BP132</f>
        <v>CSMG3</v>
      </c>
      <c r="B128" s="13">
        <v>28.64</v>
      </c>
      <c r="C128" s="13">
        <v>27.28</v>
      </c>
      <c r="D128" s="13">
        <v>26.12</v>
      </c>
      <c r="E128" s="13">
        <f ca="1">Bovespa!BO132</f>
        <v>25.83</v>
      </c>
      <c r="F128" s="13">
        <v>25.83</v>
      </c>
    </row>
    <row r="129" spans="1:6" x14ac:dyDescent="0.25">
      <c r="A129" s="13" t="str">
        <f>Bovespa!BP133</f>
        <v>RENT3</v>
      </c>
      <c r="B129" s="13">
        <v>39.18</v>
      </c>
      <c r="C129" s="13">
        <v>36.659999999999997</v>
      </c>
      <c r="D129" s="13">
        <v>35.799999999999997</v>
      </c>
      <c r="E129" s="13">
        <f ca="1">Bovespa!BO133</f>
        <v>34.369999999999997</v>
      </c>
      <c r="F129" s="13">
        <v>34.369999999999997</v>
      </c>
    </row>
    <row r="130" spans="1:6" x14ac:dyDescent="0.25">
      <c r="A130" s="13" t="str">
        <f>Bovespa!BP134</f>
        <v>RAPT4</v>
      </c>
      <c r="B130" s="13">
        <v>8.77</v>
      </c>
      <c r="C130" s="13">
        <v>8.0399999999999991</v>
      </c>
      <c r="D130" s="13">
        <v>7.87</v>
      </c>
      <c r="E130" s="13">
        <f ca="1">Bovespa!BO134</f>
        <v>7.15</v>
      </c>
      <c r="F130" s="13">
        <v>7.15</v>
      </c>
    </row>
    <row r="131" spans="1:6" x14ac:dyDescent="0.25">
      <c r="A131" s="13" t="str">
        <f>Bovespa!BP135</f>
        <v>RAPT3</v>
      </c>
      <c r="B131" s="13">
        <v>8.27</v>
      </c>
      <c r="C131" s="13">
        <v>7.91</v>
      </c>
      <c r="D131" s="13">
        <v>7.65</v>
      </c>
      <c r="E131" s="13">
        <f ca="1">Bovespa!BO135</f>
        <v>6.97</v>
      </c>
      <c r="F131" s="13">
        <v>6.97</v>
      </c>
    </row>
    <row r="132" spans="1:6" x14ac:dyDescent="0.25">
      <c r="A132" s="13" t="str">
        <f>Bovespa!BP136</f>
        <v>MBLY3</v>
      </c>
      <c r="B132" s="13">
        <v>0.88</v>
      </c>
      <c r="C132" s="13">
        <v>1.0900000000000001</v>
      </c>
      <c r="D132" s="13">
        <v>1</v>
      </c>
      <c r="E132" s="13">
        <f ca="1">Bovespa!BO136</f>
        <v>1.2</v>
      </c>
      <c r="F132" s="13">
        <v>1.2</v>
      </c>
    </row>
    <row r="133" spans="1:6" x14ac:dyDescent="0.25">
      <c r="A133" s="13" t="str">
        <f>Bovespa!BP137</f>
        <v>GOAU4</v>
      </c>
      <c r="B133" s="13">
        <v>9.3699999999999992</v>
      </c>
      <c r="C133" s="13">
        <v>9.32</v>
      </c>
      <c r="D133" s="13">
        <v>9</v>
      </c>
      <c r="E133" s="13">
        <f ca="1">Bovespa!BO137</f>
        <v>8.99</v>
      </c>
      <c r="F133" s="13">
        <v>8.99</v>
      </c>
    </row>
    <row r="134" spans="1:6" x14ac:dyDescent="0.25">
      <c r="A134" s="13" t="str">
        <f>Bovespa!BP138</f>
        <v>DOHL4</v>
      </c>
      <c r="B134" s="13">
        <v>4</v>
      </c>
      <c r="C134" s="13">
        <v>4.33</v>
      </c>
      <c r="D134" s="13">
        <v>4.25</v>
      </c>
      <c r="E134" s="13">
        <f ca="1">Bovespa!BO138</f>
        <v>4</v>
      </c>
      <c r="F134" s="13">
        <v>4</v>
      </c>
    </row>
    <row r="135" spans="1:6" x14ac:dyDescent="0.25">
      <c r="A135" s="13" t="str">
        <f>Bovespa!BP139</f>
        <v>BRFS3</v>
      </c>
      <c r="B135" s="13">
        <v>19.850000000000001</v>
      </c>
      <c r="C135" s="13">
        <v>21.88</v>
      </c>
      <c r="D135" s="13">
        <v>20.399999999999999</v>
      </c>
      <c r="E135" s="13">
        <f ca="1">Bovespa!BO139</f>
        <v>20.32</v>
      </c>
      <c r="F135" s="13">
        <v>20.32</v>
      </c>
    </row>
    <row r="136" spans="1:6" x14ac:dyDescent="0.25">
      <c r="A136" s="13" t="str">
        <f>Bovespa!BP140</f>
        <v>INTB3</v>
      </c>
      <c r="B136" s="13">
        <v>15.12</v>
      </c>
      <c r="C136" s="13">
        <v>14.28</v>
      </c>
      <c r="D136" s="13">
        <v>14.55</v>
      </c>
      <c r="E136" s="13">
        <f ca="1">Bovespa!BO140</f>
        <v>13.99</v>
      </c>
      <c r="F136" s="13">
        <v>13.99</v>
      </c>
    </row>
    <row r="137" spans="1:6" x14ac:dyDescent="0.25">
      <c r="A137" s="13" t="str">
        <f>Bovespa!BP141</f>
        <v>CBAV3</v>
      </c>
      <c r="B137" s="13">
        <v>4.8899999999999997</v>
      </c>
      <c r="C137" s="13">
        <v>4.9000000000000004</v>
      </c>
      <c r="D137" s="13">
        <v>4.5</v>
      </c>
      <c r="E137" s="13">
        <f ca="1">Bovespa!BO141</f>
        <v>4.6500000000000004</v>
      </c>
      <c r="F137" s="13">
        <v>4.6500000000000004</v>
      </c>
    </row>
    <row r="138" spans="1:6" x14ac:dyDescent="0.25">
      <c r="A138" s="13" t="str">
        <f>Bovespa!BP142</f>
        <v>KLBN3</v>
      </c>
      <c r="B138" s="13">
        <v>3.99</v>
      </c>
      <c r="C138" s="13">
        <v>3.81</v>
      </c>
      <c r="D138" s="13">
        <v>3.84</v>
      </c>
      <c r="E138" s="13">
        <f ca="1">Bovespa!BO142</f>
        <v>3.75</v>
      </c>
      <c r="F138" s="13">
        <v>3.75</v>
      </c>
    </row>
    <row r="139" spans="1:6" x14ac:dyDescent="0.25">
      <c r="A139" s="13" t="str">
        <f>Bovespa!BP143</f>
        <v>GMAT3</v>
      </c>
      <c r="B139" s="13">
        <v>8.08</v>
      </c>
      <c r="C139" s="13">
        <v>7.95</v>
      </c>
      <c r="D139" s="13">
        <v>7.71</v>
      </c>
      <c r="E139" s="13">
        <f ca="1">Bovespa!BO143</f>
        <v>7.37</v>
      </c>
      <c r="F139" s="13">
        <v>7.37</v>
      </c>
    </row>
    <row r="140" spans="1:6" x14ac:dyDescent="0.25">
      <c r="A140" s="13" t="str">
        <f>Bovespa!BP144</f>
        <v>TIMS3</v>
      </c>
      <c r="B140" s="13">
        <v>22.46</v>
      </c>
      <c r="C140" s="13">
        <v>21.16</v>
      </c>
      <c r="D140" s="13">
        <v>20.37</v>
      </c>
      <c r="E140" s="13">
        <f ca="1">Bovespa!BO144</f>
        <v>20.72</v>
      </c>
      <c r="F140" s="13">
        <v>20.72</v>
      </c>
    </row>
    <row r="141" spans="1:6" x14ac:dyDescent="0.25">
      <c r="A141" s="13" t="str">
        <f>Bovespa!BP145</f>
        <v>BPAC3</v>
      </c>
      <c r="B141" s="13">
        <v>23.45</v>
      </c>
      <c r="C141" s="13">
        <v>22.5</v>
      </c>
      <c r="D141" s="13">
        <v>22.64</v>
      </c>
      <c r="E141" s="13">
        <f ca="1">Bovespa!BO145</f>
        <v>21.19</v>
      </c>
      <c r="F141" s="13">
        <v>21.19</v>
      </c>
    </row>
    <row r="142" spans="1:6" x14ac:dyDescent="0.25">
      <c r="A142" s="13" t="str">
        <f>Bovespa!BP146</f>
        <v>VIVA3</v>
      </c>
      <c r="B142" s="13">
        <v>27.23</v>
      </c>
      <c r="C142" s="13">
        <v>25.51</v>
      </c>
      <c r="D142" s="13">
        <v>25.58</v>
      </c>
      <c r="E142" s="13">
        <f ca="1">Bovespa!BO146</f>
        <v>25.72</v>
      </c>
      <c r="F142" s="13">
        <v>25.72</v>
      </c>
    </row>
    <row r="143" spans="1:6" x14ac:dyDescent="0.25">
      <c r="A143" s="13" t="str">
        <f>Bovespa!BP147</f>
        <v>LOGG3</v>
      </c>
      <c r="B143" s="13">
        <v>20.78</v>
      </c>
      <c r="C143" s="13">
        <v>20.09</v>
      </c>
      <c r="D143" s="13">
        <v>19.79</v>
      </c>
      <c r="E143" s="13">
        <f ca="1">Bovespa!BO147</f>
        <v>20.420000000000002</v>
      </c>
      <c r="F143" s="13">
        <v>20.420000000000002</v>
      </c>
    </row>
    <row r="144" spans="1:6" x14ac:dyDescent="0.25">
      <c r="A144" s="13" t="str">
        <f>Bovespa!BP148</f>
        <v>QUAL3</v>
      </c>
      <c r="B144" s="13">
        <v>1.85</v>
      </c>
      <c r="C144" s="13">
        <v>1.77</v>
      </c>
      <c r="D144" s="13">
        <v>1.67</v>
      </c>
      <c r="E144" s="13">
        <f ca="1">Bovespa!BO148</f>
        <v>1.64</v>
      </c>
      <c r="F144" s="13">
        <v>1.64</v>
      </c>
    </row>
    <row r="145" spans="1:6" x14ac:dyDescent="0.25">
      <c r="A145" s="13" t="str">
        <f>Bovespa!BP149</f>
        <v>PNVL3</v>
      </c>
      <c r="B145" s="13">
        <v>9.5399999999999991</v>
      </c>
      <c r="C145" s="13">
        <v>9.34</v>
      </c>
      <c r="D145" s="13">
        <v>9.09</v>
      </c>
      <c r="E145" s="13">
        <f ca="1">Bovespa!BO149</f>
        <v>9.1199999999999992</v>
      </c>
      <c r="F145" s="13">
        <v>9.1199999999999992</v>
      </c>
    </row>
    <row r="146" spans="1:6" x14ac:dyDescent="0.25">
      <c r="A146" s="13" t="str">
        <f>Bovespa!BP150</f>
        <v>CLSA3</v>
      </c>
      <c r="B146" s="13">
        <v>11.34</v>
      </c>
      <c r="C146" s="13">
        <v>11.03</v>
      </c>
      <c r="D146" s="13">
        <v>11.22</v>
      </c>
      <c r="E146" s="13">
        <f ca="1">Bovespa!BO150</f>
        <v>11.09</v>
      </c>
      <c r="F146" s="13">
        <v>11.09</v>
      </c>
    </row>
    <row r="147" spans="1:6" x14ac:dyDescent="0.25">
      <c r="A147" s="13" t="str">
        <f>Bovespa!BP151</f>
        <v>KLBN4</v>
      </c>
      <c r="B147" s="13">
        <v>3.89</v>
      </c>
      <c r="C147" s="13">
        <v>3.7</v>
      </c>
      <c r="D147" s="13">
        <v>3.73</v>
      </c>
      <c r="E147" s="13">
        <f ca="1">Bovespa!BO151</f>
        <v>3.64</v>
      </c>
      <c r="F147" s="13">
        <v>3.64</v>
      </c>
    </row>
    <row r="148" spans="1:6" x14ac:dyDescent="0.25">
      <c r="A148" s="13" t="str">
        <f>Bovespa!BP152</f>
        <v>BPAC5</v>
      </c>
      <c r="B148" s="13">
        <v>9.41</v>
      </c>
      <c r="C148" s="13">
        <v>8.99</v>
      </c>
      <c r="D148" s="13">
        <v>8.8699999999999992</v>
      </c>
      <c r="E148" s="13">
        <f ca="1">Bovespa!BO152</f>
        <v>8.8699999999999992</v>
      </c>
      <c r="F148" s="13">
        <v>8.8699999999999992</v>
      </c>
    </row>
    <row r="149" spans="1:6" x14ac:dyDescent="0.25">
      <c r="A149" s="13" t="str">
        <f>Bovespa!BP153</f>
        <v>DIRR3</v>
      </c>
      <c r="B149" s="13">
        <v>41.09</v>
      </c>
      <c r="C149" s="13">
        <v>39.590000000000003</v>
      </c>
      <c r="D149" s="13">
        <v>40.26</v>
      </c>
      <c r="E149" s="13">
        <f ca="1">Bovespa!BO153</f>
        <v>39.22</v>
      </c>
      <c r="F149" s="13">
        <v>39.22</v>
      </c>
    </row>
    <row r="150" spans="1:6" x14ac:dyDescent="0.25">
      <c r="A150" s="13" t="str">
        <f>Bovespa!BP154</f>
        <v>MYPK3</v>
      </c>
      <c r="B150" s="13">
        <v>13.41</v>
      </c>
      <c r="C150" s="13">
        <v>13.5</v>
      </c>
      <c r="D150" s="13">
        <v>13.75</v>
      </c>
      <c r="E150" s="13">
        <f ca="1">Bovespa!BO154</f>
        <v>14.38</v>
      </c>
      <c r="F150" s="13">
        <v>14.38</v>
      </c>
    </row>
    <row r="151" spans="1:6" x14ac:dyDescent="0.25">
      <c r="A151" s="13" t="str">
        <f>Bovespa!BP155</f>
        <v>RDOR3</v>
      </c>
      <c r="B151" s="13">
        <v>34.93</v>
      </c>
      <c r="C151" s="13">
        <v>33.299999999999997</v>
      </c>
      <c r="D151" s="13">
        <v>32.89</v>
      </c>
      <c r="E151" s="13">
        <f ca="1">Bovespa!BO155</f>
        <v>32.4</v>
      </c>
      <c r="F151" s="13">
        <v>32.4</v>
      </c>
    </row>
    <row r="152" spans="1:6" x14ac:dyDescent="0.25">
      <c r="A152" s="13" t="str">
        <f>Bovespa!BP156</f>
        <v>VIVT3</v>
      </c>
      <c r="B152" s="13">
        <v>32.4</v>
      </c>
      <c r="C152" s="13">
        <v>32.1</v>
      </c>
      <c r="D152" s="13">
        <v>30.95</v>
      </c>
      <c r="E152" s="13">
        <f ca="1">Bovespa!BO156</f>
        <v>31.58</v>
      </c>
      <c r="F152" s="13">
        <v>31.58</v>
      </c>
    </row>
    <row r="153" spans="1:6" x14ac:dyDescent="0.25">
      <c r="A153" s="13" t="str">
        <f>Bovespa!BP157</f>
        <v>PGMN3</v>
      </c>
      <c r="B153" s="13">
        <v>3.39</v>
      </c>
      <c r="C153" s="13">
        <v>3.34</v>
      </c>
      <c r="D153" s="13">
        <v>3.41</v>
      </c>
      <c r="E153" s="13">
        <f ca="1">Bovespa!BO157</f>
        <v>3.92</v>
      </c>
      <c r="F153" s="13">
        <v>3.92</v>
      </c>
    </row>
    <row r="154" spans="1:6" x14ac:dyDescent="0.25">
      <c r="A154" s="13" t="str">
        <f>Bovespa!BP158</f>
        <v>TFCO4</v>
      </c>
      <c r="B154" s="13">
        <v>15.08</v>
      </c>
      <c r="C154" s="13">
        <v>14.42</v>
      </c>
      <c r="D154" s="13">
        <v>14.33</v>
      </c>
      <c r="E154" s="13">
        <f ca="1">Bovespa!BO158</f>
        <v>14.6</v>
      </c>
      <c r="F154" s="13">
        <v>14.6</v>
      </c>
    </row>
    <row r="155" spans="1:6" x14ac:dyDescent="0.25">
      <c r="A155" s="13" t="str">
        <f>Bovespa!BP159</f>
        <v>ENEV3</v>
      </c>
      <c r="B155" s="13">
        <v>13.9</v>
      </c>
      <c r="C155" s="13">
        <v>13.28</v>
      </c>
      <c r="D155" s="13">
        <v>13.69</v>
      </c>
      <c r="E155" s="13">
        <f ca="1">Bovespa!BO159</f>
        <v>13.53</v>
      </c>
      <c r="F155" s="13">
        <v>13.53</v>
      </c>
    </row>
    <row r="156" spans="1:6" x14ac:dyDescent="0.25">
      <c r="A156" s="13" t="str">
        <f>Bovespa!BP160</f>
        <v>LIGT3</v>
      </c>
      <c r="B156" s="13">
        <v>6.58</v>
      </c>
      <c r="C156" s="13">
        <v>5.63</v>
      </c>
      <c r="D156" s="13">
        <v>5.87</v>
      </c>
      <c r="E156" s="13">
        <f ca="1">Bovespa!BO160</f>
        <v>5.91</v>
      </c>
      <c r="F156" s="13">
        <v>5.91</v>
      </c>
    </row>
    <row r="157" spans="1:6" x14ac:dyDescent="0.25">
      <c r="A157" s="13" t="str">
        <f>Bovespa!BP161</f>
        <v>CSED3</v>
      </c>
      <c r="B157" s="13">
        <v>5.0999999999999996</v>
      </c>
      <c r="C157" s="13">
        <v>4.8</v>
      </c>
      <c r="D157" s="13">
        <v>4.8499999999999996</v>
      </c>
      <c r="E157" s="13">
        <f ca="1">Bovespa!BO161</f>
        <v>5.07</v>
      </c>
      <c r="F157" s="13">
        <v>5.07</v>
      </c>
    </row>
    <row r="158" spans="1:6" x14ac:dyDescent="0.25">
      <c r="A158" s="13" t="str">
        <f>Bovespa!BP162</f>
        <v>MULT3</v>
      </c>
      <c r="B158" s="13">
        <v>27.17</v>
      </c>
      <c r="C158" s="13">
        <v>25.9</v>
      </c>
      <c r="D158" s="13">
        <v>25.24</v>
      </c>
      <c r="E158" s="13">
        <f ca="1">Bovespa!BO162</f>
        <v>25.65</v>
      </c>
      <c r="F158" s="13">
        <v>25.65</v>
      </c>
    </row>
    <row r="159" spans="1:6" x14ac:dyDescent="0.25">
      <c r="A159" s="13" t="str">
        <f>Bovespa!BP163</f>
        <v>AURE3</v>
      </c>
      <c r="B159" s="13">
        <v>9.8000000000000007</v>
      </c>
      <c r="C159" s="13">
        <v>9.11</v>
      </c>
      <c r="D159" s="13">
        <v>8.94</v>
      </c>
      <c r="E159" s="13">
        <f ca="1">Bovespa!BO163</f>
        <v>9.65</v>
      </c>
      <c r="F159" s="13">
        <v>9.65</v>
      </c>
    </row>
    <row r="160" spans="1:6" x14ac:dyDescent="0.25">
      <c r="A160" s="13" t="str">
        <f>Bovespa!BP164</f>
        <v>TUPY3</v>
      </c>
      <c r="B160" s="13">
        <v>18.07</v>
      </c>
      <c r="C160" s="13">
        <v>17.7</v>
      </c>
      <c r="D160" s="13">
        <v>16.98</v>
      </c>
      <c r="E160" s="13">
        <f ca="1">Bovespa!BO164</f>
        <v>16.04</v>
      </c>
      <c r="F160" s="13">
        <v>16.04</v>
      </c>
    </row>
    <row r="161" spans="1:6" x14ac:dyDescent="0.25">
      <c r="A161" s="13" t="str">
        <f>Bovespa!BP165</f>
        <v>SCAR3</v>
      </c>
      <c r="B161" s="13">
        <v>17.14</v>
      </c>
      <c r="C161" s="13">
        <v>16.61</v>
      </c>
      <c r="D161" s="13">
        <v>16.809999999999999</v>
      </c>
      <c r="E161" s="13">
        <f ca="1">Bovespa!BO165</f>
        <v>18</v>
      </c>
      <c r="F161" s="13">
        <v>18</v>
      </c>
    </row>
    <row r="162" spans="1:6" x14ac:dyDescent="0.25">
      <c r="A162" s="13" t="str">
        <f>Bovespa!BP166</f>
        <v>LWSA3</v>
      </c>
      <c r="B162" s="13">
        <v>3.67</v>
      </c>
      <c r="C162" s="13">
        <v>3.75</v>
      </c>
      <c r="D162" s="13">
        <v>3.9</v>
      </c>
      <c r="E162" s="13">
        <f ca="1">Bovespa!BO166</f>
        <v>3.95</v>
      </c>
      <c r="F162" s="13">
        <v>3.95</v>
      </c>
    </row>
    <row r="163" spans="1:6" x14ac:dyDescent="0.25">
      <c r="A163" s="13" t="str">
        <f>Bovespa!BP167</f>
        <v>LPSB3</v>
      </c>
      <c r="B163" s="13">
        <v>1.58</v>
      </c>
      <c r="C163" s="13">
        <v>1.38</v>
      </c>
      <c r="D163" s="13">
        <v>1.45</v>
      </c>
      <c r="E163" s="13">
        <f ca="1">Bovespa!BO167</f>
        <v>1.42</v>
      </c>
      <c r="F163" s="13">
        <v>1.42</v>
      </c>
    </row>
    <row r="164" spans="1:6" x14ac:dyDescent="0.25">
      <c r="A164" s="13" t="str">
        <f>Bovespa!BP168</f>
        <v>MTRE3</v>
      </c>
      <c r="B164" s="13">
        <v>4.12</v>
      </c>
      <c r="C164" s="13">
        <v>4.01</v>
      </c>
      <c r="D164" s="13">
        <v>3.75</v>
      </c>
      <c r="E164" s="13">
        <f ca="1">Bovespa!BO168</f>
        <v>3.66</v>
      </c>
      <c r="F164" s="13">
        <v>3.66</v>
      </c>
    </row>
    <row r="165" spans="1:6" x14ac:dyDescent="0.25">
      <c r="A165" s="13" t="str">
        <f>Bovespa!BP169</f>
        <v>EMBR3</v>
      </c>
      <c r="B165" s="13">
        <v>83.49</v>
      </c>
      <c r="C165" s="13">
        <v>74.319999999999993</v>
      </c>
      <c r="D165" s="13">
        <v>68.3</v>
      </c>
      <c r="E165" s="13">
        <f ca="1">Bovespa!BO169</f>
        <v>79.05</v>
      </c>
      <c r="F165" s="13">
        <v>79.05</v>
      </c>
    </row>
    <row r="166" spans="1:6" x14ac:dyDescent="0.25">
      <c r="A166" s="13" t="str">
        <f>Bovespa!BP170</f>
        <v>ENGI4</v>
      </c>
      <c r="B166" s="13">
        <v>9.19</v>
      </c>
      <c r="C166" s="13">
        <v>8.7200000000000006</v>
      </c>
      <c r="D166" s="13">
        <v>8.6</v>
      </c>
      <c r="E166" s="13">
        <f ca="1">Bovespa!BO170</f>
        <v>8.6</v>
      </c>
      <c r="F166" s="13">
        <v>8.6</v>
      </c>
    </row>
    <row r="167" spans="1:6" x14ac:dyDescent="0.25">
      <c r="A167" s="13" t="str">
        <f>Bovespa!BP171</f>
        <v>ANIM3</v>
      </c>
      <c r="B167" s="13">
        <v>4.4000000000000004</v>
      </c>
      <c r="C167" s="13">
        <v>3.8</v>
      </c>
      <c r="D167" s="13">
        <v>3.66</v>
      </c>
      <c r="E167" s="13">
        <f ca="1">Bovespa!BO171</f>
        <v>3.7</v>
      </c>
      <c r="F167" s="13">
        <v>3.7</v>
      </c>
    </row>
    <row r="168" spans="1:6" x14ac:dyDescent="0.25">
      <c r="A168" s="13" t="str">
        <f>Bovespa!BP172</f>
        <v>PRIO3</v>
      </c>
      <c r="B168" s="13">
        <v>42.58</v>
      </c>
      <c r="C168" s="13">
        <v>42.76</v>
      </c>
      <c r="D168" s="13">
        <v>43.29</v>
      </c>
      <c r="E168" s="13">
        <f ca="1">Bovespa!BO172</f>
        <v>40.99</v>
      </c>
      <c r="F168" s="13">
        <v>40.99</v>
      </c>
    </row>
    <row r="169" spans="1:6" x14ac:dyDescent="0.25">
      <c r="A169" s="13" t="str">
        <f>Bovespa!BP173</f>
        <v>ODPV3</v>
      </c>
      <c r="B169" s="13">
        <v>11.73</v>
      </c>
      <c r="C169" s="13">
        <v>11.59</v>
      </c>
      <c r="D169" s="13">
        <v>11.3</v>
      </c>
      <c r="E169" s="13">
        <f ca="1">Bovespa!BO173</f>
        <v>12.15</v>
      </c>
      <c r="F169" s="13">
        <v>12.15</v>
      </c>
    </row>
    <row r="170" spans="1:6" x14ac:dyDescent="0.25">
      <c r="A170" s="13" t="str">
        <f>Bovespa!BP174</f>
        <v>RECV3</v>
      </c>
      <c r="B170" s="13">
        <v>14.69</v>
      </c>
      <c r="C170" s="13">
        <v>14.47</v>
      </c>
      <c r="D170" s="13">
        <v>13.74</v>
      </c>
      <c r="E170" s="13">
        <f ca="1">Bovespa!BO174</f>
        <v>13.34</v>
      </c>
      <c r="F170" s="13">
        <v>13.34</v>
      </c>
    </row>
    <row r="171" spans="1:6" x14ac:dyDescent="0.25">
      <c r="A171" s="13" t="str">
        <f>Bovespa!BP175</f>
        <v>MDNE3</v>
      </c>
      <c r="B171" s="13">
        <v>24.2</v>
      </c>
      <c r="C171" s="13">
        <v>23.22</v>
      </c>
      <c r="D171" s="13">
        <v>21.12</v>
      </c>
      <c r="E171" s="13">
        <f ca="1">Bovespa!BO175</f>
        <v>22.4</v>
      </c>
      <c r="F171" s="13">
        <v>22.4</v>
      </c>
    </row>
    <row r="172" spans="1:6" x14ac:dyDescent="0.25">
      <c r="A172" s="13" t="str">
        <f>Bovespa!BP176</f>
        <v>RCSL4</v>
      </c>
      <c r="B172" s="13">
        <v>0.94</v>
      </c>
      <c r="C172" s="13">
        <v>0.95</v>
      </c>
      <c r="D172" s="13">
        <v>1.06</v>
      </c>
      <c r="E172" s="13">
        <f ca="1">Bovespa!BO176</f>
        <v>1.05</v>
      </c>
      <c r="F172" s="13">
        <v>1.05</v>
      </c>
    </row>
    <row r="173" spans="1:6" x14ac:dyDescent="0.25">
      <c r="A173" s="13" t="str">
        <f>Bovespa!BP177</f>
        <v>TPIS3</v>
      </c>
      <c r="B173" s="13">
        <v>4.07</v>
      </c>
      <c r="C173" s="13">
        <v>4.03</v>
      </c>
      <c r="D173" s="13">
        <v>4.01</v>
      </c>
      <c r="E173" s="13">
        <f ca="1">Bovespa!BO177</f>
        <v>4.0199999999999996</v>
      </c>
      <c r="F173" s="13">
        <v>4.0199999999999996</v>
      </c>
    </row>
    <row r="174" spans="1:6" x14ac:dyDescent="0.25">
      <c r="A174" s="13" t="str">
        <f>Bovespa!BP178</f>
        <v>TASA4</v>
      </c>
      <c r="B174" s="13">
        <v>6.92</v>
      </c>
      <c r="C174" s="13">
        <v>6.35</v>
      </c>
      <c r="D174" s="13">
        <v>5.75</v>
      </c>
      <c r="E174" s="13">
        <f ca="1">Bovespa!BO178</f>
        <v>4.9000000000000004</v>
      </c>
      <c r="F174" s="13">
        <v>4.9000000000000004</v>
      </c>
    </row>
    <row r="175" spans="1:6" x14ac:dyDescent="0.25">
      <c r="A175" s="13" t="str">
        <f>Bovespa!BP179</f>
        <v>SNSY5</v>
      </c>
      <c r="B175" s="13">
        <v>3.56</v>
      </c>
      <c r="C175" s="13">
        <v>3.51</v>
      </c>
      <c r="D175" s="13">
        <v>3.58</v>
      </c>
      <c r="E175" s="13">
        <f ca="1">Bovespa!BO179</f>
        <v>3.56</v>
      </c>
      <c r="F175" s="13">
        <v>3.56</v>
      </c>
    </row>
    <row r="176" spans="1:6" x14ac:dyDescent="0.25">
      <c r="A176" s="13" t="str">
        <f>Bovespa!BP180</f>
        <v>LAVV3</v>
      </c>
      <c r="B176" s="13">
        <v>12.61</v>
      </c>
      <c r="C176" s="13">
        <v>12.65</v>
      </c>
      <c r="D176" s="13">
        <v>12.07</v>
      </c>
      <c r="E176" s="13">
        <f ca="1">Bovespa!BO180</f>
        <v>12.39</v>
      </c>
      <c r="F176" s="13">
        <v>12.39</v>
      </c>
    </row>
    <row r="177" spans="1:6" x14ac:dyDescent="0.25">
      <c r="A177" s="13" t="str">
        <f>Bovespa!BP181</f>
        <v>ALPA3</v>
      </c>
      <c r="B177" s="13">
        <v>8.6</v>
      </c>
      <c r="C177" s="13">
        <v>8.09</v>
      </c>
      <c r="D177" s="13">
        <v>7.5</v>
      </c>
      <c r="E177" s="13">
        <f ca="1">Bovespa!BO181</f>
        <v>7.35</v>
      </c>
      <c r="F177" s="13">
        <v>7.35</v>
      </c>
    </row>
    <row r="178" spans="1:6" x14ac:dyDescent="0.25">
      <c r="A178" s="13" t="str">
        <f>Bovespa!BP182</f>
        <v>LVTC3</v>
      </c>
      <c r="B178" s="13">
        <v>3.71</v>
      </c>
      <c r="C178" s="13">
        <v>3.5</v>
      </c>
      <c r="D178" s="13">
        <v>3.6</v>
      </c>
      <c r="E178" s="13">
        <f ca="1">Bovespa!BO182</f>
        <v>3.45</v>
      </c>
      <c r="F178" s="13">
        <v>3.45</v>
      </c>
    </row>
    <row r="179" spans="1:6" x14ac:dyDescent="0.25">
      <c r="A179" s="13" t="str">
        <f>Bovespa!BP183</f>
        <v>BEEF3</v>
      </c>
      <c r="B179" s="13">
        <v>5.17</v>
      </c>
      <c r="C179" s="13">
        <v>5.37</v>
      </c>
      <c r="D179" s="13">
        <v>5.12</v>
      </c>
      <c r="E179" s="13">
        <f ca="1">Bovespa!BO183</f>
        <v>4.9400000000000004</v>
      </c>
      <c r="F179" s="13">
        <v>4.9400000000000004</v>
      </c>
    </row>
    <row r="180" spans="1:6" x14ac:dyDescent="0.25">
      <c r="A180" s="13" t="str">
        <f>Bovespa!BP184</f>
        <v>ALPA4</v>
      </c>
      <c r="B180" s="13">
        <v>8.94</v>
      </c>
      <c r="C180" s="13">
        <v>8.56</v>
      </c>
      <c r="D180" s="13">
        <v>8.5299999999999994</v>
      </c>
      <c r="E180" s="13">
        <f ca="1">Bovespa!BO184</f>
        <v>8.64</v>
      </c>
      <c r="F180" s="13">
        <v>8.64</v>
      </c>
    </row>
    <row r="181" spans="1:6" x14ac:dyDescent="0.25">
      <c r="A181" s="13" t="str">
        <f>Bovespa!BP185</f>
        <v>MLAS3</v>
      </c>
      <c r="B181" s="13">
        <v>1.07</v>
      </c>
      <c r="C181" s="13">
        <v>1.04</v>
      </c>
      <c r="D181" s="13">
        <v>1.05</v>
      </c>
      <c r="E181" s="13">
        <f ca="1">Bovespa!BO185</f>
        <v>1</v>
      </c>
      <c r="F181" s="13">
        <v>1</v>
      </c>
    </row>
    <row r="182" spans="1:6" x14ac:dyDescent="0.25">
      <c r="A182" s="13" t="str">
        <f>Bovespa!BP186</f>
        <v>EUCA4</v>
      </c>
      <c r="B182" s="13">
        <v>18.760000000000002</v>
      </c>
      <c r="C182" s="13">
        <v>17.170000000000002</v>
      </c>
      <c r="D182" s="13">
        <v>17.18</v>
      </c>
      <c r="E182" s="13">
        <f ca="1">Bovespa!BO186</f>
        <v>17.399999999999999</v>
      </c>
      <c r="F182" s="13">
        <v>17.399999999999999</v>
      </c>
    </row>
    <row r="183" spans="1:6" x14ac:dyDescent="0.25">
      <c r="A183" s="13" t="str">
        <f>Bovespa!BP187</f>
        <v>B3SA3</v>
      </c>
      <c r="B183" s="13">
        <v>14.71</v>
      </c>
      <c r="C183" s="13">
        <v>13.71</v>
      </c>
      <c r="D183" s="13">
        <v>12.97</v>
      </c>
      <c r="E183" s="13">
        <f ca="1">Bovespa!BO187</f>
        <v>12.59</v>
      </c>
      <c r="F183" s="13">
        <v>12.59</v>
      </c>
    </row>
    <row r="184" spans="1:6" x14ac:dyDescent="0.25">
      <c r="A184" s="13" t="str">
        <f>Bovespa!BP188</f>
        <v>KRSA3</v>
      </c>
      <c r="B184" s="13">
        <v>8.8699999999999992</v>
      </c>
      <c r="C184" s="13">
        <v>8.8699999999999992</v>
      </c>
      <c r="D184" s="13">
        <v>8.8699999999999992</v>
      </c>
      <c r="E184" s="13">
        <f ca="1">Bovespa!BO188</f>
        <v>8.8699999999999992</v>
      </c>
      <c r="F184" s="13">
        <v>8.8699999999999992</v>
      </c>
    </row>
    <row r="185" spans="1:6" x14ac:dyDescent="0.25">
      <c r="A185" s="13" t="str">
        <f>Bovespa!BP189</f>
        <v>BOBR4</v>
      </c>
      <c r="B185" s="13">
        <v>1.58</v>
      </c>
      <c r="C185" s="13">
        <v>1.57</v>
      </c>
      <c r="D185" s="13">
        <v>1.48</v>
      </c>
      <c r="E185" s="13">
        <f ca="1">Bovespa!BO189</f>
        <v>1.36</v>
      </c>
      <c r="F185" s="13">
        <v>1.36</v>
      </c>
    </row>
    <row r="186" spans="1:6" x14ac:dyDescent="0.25">
      <c r="A186" s="13" t="str">
        <f>Bovespa!BP190</f>
        <v>ETER3</v>
      </c>
      <c r="B186" s="13">
        <v>4.07</v>
      </c>
      <c r="C186" s="13">
        <v>3.91</v>
      </c>
      <c r="D186" s="13">
        <v>3.75</v>
      </c>
      <c r="E186" s="13">
        <f ca="1">Bovespa!BO190</f>
        <v>3.91</v>
      </c>
      <c r="F186" s="13">
        <v>3.91</v>
      </c>
    </row>
    <row r="187" spans="1:6" x14ac:dyDescent="0.25">
      <c r="A187" s="13" t="str">
        <f>Bovespa!BP191</f>
        <v>ESPA3</v>
      </c>
      <c r="B187" s="13">
        <v>1.1100000000000001</v>
      </c>
      <c r="C187" s="13">
        <v>1.1200000000000001</v>
      </c>
      <c r="D187" s="13">
        <v>1.1200000000000001</v>
      </c>
      <c r="E187" s="13">
        <f ca="1">Bovespa!BO191</f>
        <v>1.05</v>
      </c>
      <c r="F187" s="13">
        <v>1.05</v>
      </c>
    </row>
    <row r="188" spans="1:6" x14ac:dyDescent="0.25">
      <c r="A188" s="13" t="str">
        <f>Bovespa!BP192</f>
        <v>MATD3</v>
      </c>
      <c r="B188" s="13">
        <v>4.62</v>
      </c>
      <c r="C188" s="13">
        <v>4.58</v>
      </c>
      <c r="D188" s="13">
        <v>4.3099999999999996</v>
      </c>
      <c r="E188" s="13">
        <f ca="1">Bovespa!BO192</f>
        <v>4.2300000000000004</v>
      </c>
      <c r="F188" s="13">
        <v>4.2300000000000004</v>
      </c>
    </row>
    <row r="189" spans="1:6" x14ac:dyDescent="0.25">
      <c r="A189" s="13" t="str">
        <f>Bovespa!BP193</f>
        <v>TRAD3</v>
      </c>
      <c r="B189" s="13">
        <v>6.59</v>
      </c>
      <c r="C189" s="13">
        <v>7.39</v>
      </c>
      <c r="D189" s="13">
        <v>7.49</v>
      </c>
      <c r="E189" s="13">
        <f ca="1">Bovespa!BO193</f>
        <v>6.68</v>
      </c>
      <c r="F189" s="13">
        <v>6.68</v>
      </c>
    </row>
    <row r="190" spans="1:6" x14ac:dyDescent="0.25">
      <c r="A190" s="13" t="str">
        <f>Bovespa!BP194</f>
        <v>VULC3</v>
      </c>
      <c r="B190" s="13">
        <v>21.88</v>
      </c>
      <c r="C190" s="13">
        <v>20.2</v>
      </c>
      <c r="D190" s="13">
        <v>18.829999999999998</v>
      </c>
      <c r="E190" s="13">
        <f ca="1">Bovespa!BO194</f>
        <v>18.579999999999998</v>
      </c>
      <c r="F190" s="13">
        <v>18.579999999999998</v>
      </c>
    </row>
    <row r="191" spans="1:6" x14ac:dyDescent="0.25">
      <c r="A191" s="13" t="str">
        <f>Bovespa!BP195</f>
        <v>LUPA3</v>
      </c>
      <c r="B191" s="13">
        <v>1.2</v>
      </c>
      <c r="C191" s="13">
        <v>1.19</v>
      </c>
      <c r="D191" s="13">
        <v>1.1599999999999999</v>
      </c>
      <c r="E191" s="13">
        <f ca="1">Bovespa!BO195</f>
        <v>1.17</v>
      </c>
      <c r="F191" s="13">
        <v>1.17</v>
      </c>
    </row>
    <row r="192" spans="1:6" x14ac:dyDescent="0.25">
      <c r="A192" s="13" t="str">
        <f>Bovespa!BP196</f>
        <v>ECOR3</v>
      </c>
      <c r="B192" s="13">
        <v>7.37</v>
      </c>
      <c r="C192" s="13">
        <v>6.91</v>
      </c>
      <c r="D192" s="13">
        <v>6.79</v>
      </c>
      <c r="E192" s="13">
        <f ca="1">Bovespa!BO196</f>
        <v>6.74</v>
      </c>
      <c r="F192" s="13">
        <v>6.74</v>
      </c>
    </row>
    <row r="193" spans="1:6" x14ac:dyDescent="0.25">
      <c r="A193" s="13" t="str">
        <f>Bovespa!BP197</f>
        <v>PDGR3</v>
      </c>
      <c r="B193" s="13">
        <v>0.25</v>
      </c>
      <c r="C193" s="13">
        <v>0.24</v>
      </c>
      <c r="D193" s="13">
        <v>0.22</v>
      </c>
      <c r="E193" s="13">
        <f ca="1">Bovespa!BO197</f>
        <v>0.22</v>
      </c>
      <c r="F193" s="13">
        <v>0.22</v>
      </c>
    </row>
    <row r="194" spans="1:6" x14ac:dyDescent="0.25">
      <c r="A194" s="13" t="str">
        <f>Bovespa!BP198</f>
        <v>COCE5</v>
      </c>
      <c r="B194" s="13">
        <v>28.11</v>
      </c>
      <c r="C194" s="13">
        <v>26.82</v>
      </c>
      <c r="D194" s="13">
        <v>27.76</v>
      </c>
      <c r="E194" s="13">
        <f ca="1">Bovespa!BO198</f>
        <v>28.79</v>
      </c>
      <c r="F194" s="13">
        <v>28.79</v>
      </c>
    </row>
    <row r="195" spans="1:6" x14ac:dyDescent="0.25">
      <c r="A195" s="13" t="str">
        <f>Bovespa!BP199</f>
        <v>CEAB3</v>
      </c>
      <c r="B195" s="13">
        <v>19.73</v>
      </c>
      <c r="C195" s="13">
        <v>17.649999999999999</v>
      </c>
      <c r="D195" s="13">
        <v>16.53</v>
      </c>
      <c r="E195" s="13">
        <f ca="1">Bovespa!BO199</f>
        <v>17.07</v>
      </c>
      <c r="F195" s="13">
        <v>17.07</v>
      </c>
    </row>
    <row r="196" spans="1:6" x14ac:dyDescent="0.25">
      <c r="A196" s="13" t="str">
        <f>Bovespa!BP200</f>
        <v>AMBP3</v>
      </c>
      <c r="B196" s="13">
        <v>161.49</v>
      </c>
      <c r="C196" s="13">
        <v>162.13999999999999</v>
      </c>
      <c r="D196" s="13">
        <v>141.79</v>
      </c>
      <c r="E196" s="13">
        <f ca="1">Bovespa!BO200</f>
        <v>136</v>
      </c>
      <c r="F196" s="13">
        <v>136</v>
      </c>
    </row>
    <row r="197" spans="1:6" x14ac:dyDescent="0.25">
      <c r="A197" s="13" t="str">
        <f>Bovespa!BP201</f>
        <v>NGRD3</v>
      </c>
      <c r="B197" s="13">
        <v>25.5</v>
      </c>
      <c r="C197" s="13">
        <v>24.48</v>
      </c>
      <c r="D197" s="13">
        <v>25</v>
      </c>
      <c r="E197" s="13">
        <f ca="1">Bovespa!BO201</f>
        <v>25.37</v>
      </c>
      <c r="F197" s="13">
        <v>25.37</v>
      </c>
    </row>
    <row r="198" spans="1:6" x14ac:dyDescent="0.25">
      <c r="A198" s="13" t="str">
        <f>Bovespa!BP202</f>
        <v>CAML3</v>
      </c>
      <c r="B198" s="13">
        <v>5.31</v>
      </c>
      <c r="C198" s="13">
        <v>5.14</v>
      </c>
      <c r="D198" s="13">
        <v>4.9800000000000004</v>
      </c>
      <c r="E198" s="13">
        <f ca="1">Bovespa!BO202</f>
        <v>4.5199999999999996</v>
      </c>
      <c r="F198" s="13">
        <v>4.5199999999999996</v>
      </c>
    </row>
    <row r="199" spans="1:6" x14ac:dyDescent="0.25">
      <c r="A199" s="13" t="str">
        <f>Bovespa!BP203</f>
        <v>TASA3</v>
      </c>
      <c r="B199" s="13">
        <v>7.35</v>
      </c>
      <c r="C199" s="13">
        <v>7.12</v>
      </c>
      <c r="D199" s="13">
        <v>6.75</v>
      </c>
      <c r="E199" s="13">
        <f ca="1">Bovespa!BO203</f>
        <v>6.48</v>
      </c>
      <c r="F199" s="13">
        <v>6.48</v>
      </c>
    </row>
    <row r="200" spans="1:6" x14ac:dyDescent="0.25">
      <c r="A200" s="13" t="str">
        <f>Bovespa!BP204</f>
        <v>SBFG3</v>
      </c>
      <c r="B200" s="13">
        <v>12.65</v>
      </c>
      <c r="C200" s="13">
        <v>12</v>
      </c>
      <c r="D200" s="13">
        <v>11.92</v>
      </c>
      <c r="E200" s="13">
        <f ca="1">Bovespa!BO204</f>
        <v>10.96</v>
      </c>
      <c r="F200" s="13">
        <v>10.96</v>
      </c>
    </row>
    <row r="201" spans="1:6" x14ac:dyDescent="0.25">
      <c r="A201" s="13" t="str">
        <f>Bovespa!BP205</f>
        <v>TECN3</v>
      </c>
      <c r="B201" s="13">
        <v>6.6</v>
      </c>
      <c r="C201" s="13">
        <v>6.36</v>
      </c>
      <c r="D201" s="13">
        <v>6.36</v>
      </c>
      <c r="E201" s="13">
        <f ca="1">Bovespa!BO205</f>
        <v>6.02</v>
      </c>
      <c r="F201" s="13">
        <v>6.02</v>
      </c>
    </row>
    <row r="202" spans="1:6" x14ac:dyDescent="0.25">
      <c r="A202" s="13" t="str">
        <f>Bovespa!BP206</f>
        <v>SMTO3</v>
      </c>
      <c r="B202" s="13">
        <v>17.850000000000001</v>
      </c>
      <c r="C202" s="13">
        <v>17.13</v>
      </c>
      <c r="D202" s="13">
        <v>17.78</v>
      </c>
      <c r="E202" s="13">
        <f ca="1">Bovespa!BO206</f>
        <v>17.05</v>
      </c>
      <c r="F202" s="13">
        <v>17.05</v>
      </c>
    </row>
    <row r="203" spans="1:6" x14ac:dyDescent="0.25">
      <c r="A203" s="13" t="str">
        <f>Bovespa!BP207</f>
        <v>RANI3</v>
      </c>
      <c r="B203" s="13">
        <v>7.58</v>
      </c>
      <c r="C203" s="13">
        <v>7.3</v>
      </c>
      <c r="D203" s="13">
        <v>7.12</v>
      </c>
      <c r="E203" s="13">
        <f ca="1">Bovespa!BO207</f>
        <v>7.55</v>
      </c>
      <c r="F203" s="13">
        <v>7.55</v>
      </c>
    </row>
    <row r="204" spans="1:6" x14ac:dyDescent="0.25">
      <c r="A204" s="13" t="str">
        <f>Bovespa!BP208</f>
        <v>PETZ3</v>
      </c>
      <c r="B204" s="13">
        <v>3.86</v>
      </c>
      <c r="C204" s="13">
        <v>3.65</v>
      </c>
      <c r="D204" s="13">
        <v>3.95</v>
      </c>
      <c r="E204" s="13">
        <f ca="1">Bovespa!BO208</f>
        <v>4.04</v>
      </c>
      <c r="F204" s="13">
        <v>4.04</v>
      </c>
    </row>
    <row r="205" spans="1:6" x14ac:dyDescent="0.25">
      <c r="A205" s="13" t="str">
        <f>Bovespa!BP209</f>
        <v>TOTS3</v>
      </c>
      <c r="B205" s="13">
        <v>43.11</v>
      </c>
      <c r="C205" s="13">
        <v>41.09</v>
      </c>
      <c r="D205" s="13">
        <v>41.7</v>
      </c>
      <c r="E205" s="13">
        <f ca="1">Bovespa!BO209</f>
        <v>43.8</v>
      </c>
      <c r="F205" s="13">
        <v>43.8</v>
      </c>
    </row>
    <row r="206" spans="1:6" x14ac:dyDescent="0.25">
      <c r="A206" s="13" t="str">
        <f>Bovespa!BP210</f>
        <v>YDUQ3</v>
      </c>
      <c r="B206" s="13">
        <v>16.329999999999998</v>
      </c>
      <c r="C206" s="13">
        <v>13.88</v>
      </c>
      <c r="D206" s="13">
        <v>13.3</v>
      </c>
      <c r="E206" s="13">
        <f ca="1">Bovespa!BO210</f>
        <v>13.01</v>
      </c>
      <c r="F206" s="13">
        <v>13.01</v>
      </c>
    </row>
    <row r="207" spans="1:6" x14ac:dyDescent="0.25">
      <c r="A207" s="13" t="str">
        <f>Bovespa!BP211</f>
        <v>JSLG3</v>
      </c>
      <c r="B207" s="13">
        <v>5.99</v>
      </c>
      <c r="C207" s="13">
        <v>5.6</v>
      </c>
      <c r="D207" s="13">
        <v>5.2</v>
      </c>
      <c r="E207" s="13">
        <f ca="1">Bovespa!BO211</f>
        <v>5.13</v>
      </c>
      <c r="F207" s="13">
        <v>5.13</v>
      </c>
    </row>
    <row r="208" spans="1:6" x14ac:dyDescent="0.25">
      <c r="A208" s="13" t="str">
        <f>Bovespa!BP212</f>
        <v>ONCO3</v>
      </c>
      <c r="B208" s="13">
        <v>4.9800000000000004</v>
      </c>
      <c r="C208" s="13">
        <v>5.36</v>
      </c>
      <c r="D208" s="13">
        <v>5.47</v>
      </c>
      <c r="E208" s="13">
        <f ca="1">Bovespa!BO212</f>
        <v>5.65</v>
      </c>
      <c r="F208" s="13">
        <v>5.65</v>
      </c>
    </row>
    <row r="209" spans="1:6" x14ac:dyDescent="0.25">
      <c r="A209" s="13" t="str">
        <f>Bovespa!BP213</f>
        <v>AALR3</v>
      </c>
      <c r="B209" s="13">
        <v>3.92</v>
      </c>
      <c r="C209" s="13">
        <v>4.9000000000000004</v>
      </c>
      <c r="D209" s="13">
        <v>5.07</v>
      </c>
      <c r="E209" s="13">
        <f ca="1">Bovespa!BO213</f>
        <v>5.05</v>
      </c>
      <c r="F209" s="13">
        <v>5.05</v>
      </c>
    </row>
    <row r="210" spans="1:6" x14ac:dyDescent="0.25">
      <c r="A210" s="13" t="str">
        <f>Bovespa!BP214</f>
        <v>HBOR3</v>
      </c>
      <c r="B210" s="13">
        <v>2.29</v>
      </c>
      <c r="C210" s="13">
        <v>2.23</v>
      </c>
      <c r="D210" s="13">
        <v>2.2200000000000002</v>
      </c>
      <c r="E210" s="13">
        <f ca="1">Bovespa!BO214</f>
        <v>2.86</v>
      </c>
      <c r="F210" s="13">
        <v>2.86</v>
      </c>
    </row>
    <row r="211" spans="1:6" x14ac:dyDescent="0.25">
      <c r="A211" s="13" t="str">
        <f>Bovespa!BP215</f>
        <v>CRPG5</v>
      </c>
      <c r="B211" s="13">
        <v>16.170000000000002</v>
      </c>
      <c r="C211" s="13">
        <v>16.059999999999999</v>
      </c>
      <c r="D211" s="13">
        <v>16</v>
      </c>
      <c r="E211" s="13">
        <f ca="1">Bovespa!BO215</f>
        <v>15.3</v>
      </c>
      <c r="F211" s="13">
        <v>15.3</v>
      </c>
    </row>
    <row r="212" spans="1:6" x14ac:dyDescent="0.25">
      <c r="A212" s="13" t="str">
        <f>Bovespa!BP216</f>
        <v>LOGN3</v>
      </c>
      <c r="B212" s="13">
        <v>26</v>
      </c>
      <c r="C212" s="13">
        <v>25.85</v>
      </c>
      <c r="D212" s="13">
        <v>26.17</v>
      </c>
      <c r="E212" s="13">
        <f ca="1">Bovespa!BO216</f>
        <v>25.45</v>
      </c>
      <c r="F212" s="13">
        <v>25.45</v>
      </c>
    </row>
    <row r="213" spans="1:6" x14ac:dyDescent="0.25">
      <c r="A213" s="13" t="str">
        <f>Bovespa!BP217</f>
        <v>VAMO3</v>
      </c>
      <c r="B213" s="13">
        <v>3.97</v>
      </c>
      <c r="C213" s="13">
        <v>3.91</v>
      </c>
      <c r="D213" s="13">
        <v>3.84</v>
      </c>
      <c r="E213" s="13">
        <f ca="1">Bovespa!BO217</f>
        <v>3.89</v>
      </c>
      <c r="F213" s="13">
        <v>3.89</v>
      </c>
    </row>
    <row r="214" spans="1:6" x14ac:dyDescent="0.25">
      <c r="A214" s="13" t="str">
        <f>Bovespa!BP218</f>
        <v>JHSF3</v>
      </c>
      <c r="B214" s="13">
        <v>5.3</v>
      </c>
      <c r="C214" s="13">
        <v>5.23</v>
      </c>
      <c r="D214" s="13">
        <v>5.04</v>
      </c>
      <c r="E214" s="13">
        <f ca="1">Bovespa!BO218</f>
        <v>5.16</v>
      </c>
      <c r="F214" s="13">
        <v>5.16</v>
      </c>
    </row>
    <row r="215" spans="1:6" x14ac:dyDescent="0.25">
      <c r="A215" s="13" t="str">
        <f>Bovespa!BP219</f>
        <v>SIMH3</v>
      </c>
      <c r="B215" s="13">
        <v>4.82</v>
      </c>
      <c r="C215" s="13">
        <v>4.4400000000000004</v>
      </c>
      <c r="D215" s="13">
        <v>4.25</v>
      </c>
      <c r="E215" s="13">
        <f ca="1">Bovespa!BO219</f>
        <v>4.3</v>
      </c>
      <c r="F215" s="13">
        <v>4.3</v>
      </c>
    </row>
    <row r="216" spans="1:6" x14ac:dyDescent="0.25">
      <c r="A216" s="13" t="str">
        <f>Bovespa!BP220</f>
        <v>GUAR3</v>
      </c>
      <c r="B216" s="13">
        <v>8.83</v>
      </c>
      <c r="C216" s="13">
        <v>7.95</v>
      </c>
      <c r="D216" s="13">
        <v>7.69</v>
      </c>
      <c r="E216" s="13">
        <f ca="1">Bovespa!BO220</f>
        <v>7.67</v>
      </c>
      <c r="F216" s="13">
        <v>7.67</v>
      </c>
    </row>
    <row r="217" spans="1:6" x14ac:dyDescent="0.25">
      <c r="A217" s="13" t="str">
        <f>Bovespa!BP221</f>
        <v>SGPS3</v>
      </c>
      <c r="B217" s="13">
        <v>1.64</v>
      </c>
      <c r="C217" s="13">
        <v>1.64</v>
      </c>
      <c r="D217" s="13">
        <v>1.64</v>
      </c>
      <c r="E217" s="13">
        <f ca="1">Bovespa!BO221</f>
        <v>1.64</v>
      </c>
      <c r="F217" s="13">
        <v>1.64</v>
      </c>
    </row>
    <row r="218" spans="1:6" x14ac:dyDescent="0.25">
      <c r="A218" s="13" t="str">
        <f>Bovespa!BP222</f>
        <v>COGN3</v>
      </c>
      <c r="B218" s="13">
        <v>2.91</v>
      </c>
      <c r="C218" s="13">
        <v>2.65</v>
      </c>
      <c r="D218" s="13">
        <v>2.59</v>
      </c>
      <c r="E218" s="13">
        <f ca="1">Bovespa!BO222</f>
        <v>2.77</v>
      </c>
      <c r="F218" s="13">
        <v>2.77</v>
      </c>
    </row>
    <row r="219" spans="1:6" x14ac:dyDescent="0.25">
      <c r="A219" s="13" t="str">
        <f>Bovespa!BP223</f>
        <v>OIBR4</v>
      </c>
      <c r="B219" s="13">
        <v>8.5299999999999994</v>
      </c>
      <c r="C219" s="13">
        <v>8.56</v>
      </c>
      <c r="D219" s="13">
        <v>8.5500000000000007</v>
      </c>
      <c r="E219" s="13">
        <f ca="1">Bovespa!BO223</f>
        <v>7.01</v>
      </c>
      <c r="F219" s="13">
        <v>7.01</v>
      </c>
    </row>
    <row r="220" spans="1:6" x14ac:dyDescent="0.25">
      <c r="A220" s="13" t="str">
        <f>Bovespa!BP224</f>
        <v>VITT3</v>
      </c>
      <c r="B220" s="13">
        <v>4.95</v>
      </c>
      <c r="C220" s="13">
        <v>4.96</v>
      </c>
      <c r="D220" s="13">
        <v>4.97</v>
      </c>
      <c r="E220" s="13">
        <f ca="1">Bovespa!BO224</f>
        <v>4.75</v>
      </c>
      <c r="F220" s="13">
        <v>4.75</v>
      </c>
    </row>
    <row r="221" spans="1:6" x14ac:dyDescent="0.25">
      <c r="A221" s="13" t="str">
        <f>Bovespa!BP225</f>
        <v>PTBL3</v>
      </c>
      <c r="B221" s="13">
        <v>4.6399999999999997</v>
      </c>
      <c r="C221" s="13">
        <v>4.24</v>
      </c>
      <c r="D221" s="13">
        <v>3.95</v>
      </c>
      <c r="E221" s="13">
        <f ca="1">Bovespa!BO225</f>
        <v>4.0599999999999996</v>
      </c>
      <c r="F221" s="13">
        <v>4.0599999999999996</v>
      </c>
    </row>
    <row r="222" spans="1:6" x14ac:dyDescent="0.25">
      <c r="A222" s="13" t="str">
        <f>Bovespa!BP226</f>
        <v>VVEO3</v>
      </c>
      <c r="B222" s="13">
        <v>1.18</v>
      </c>
      <c r="C222" s="13">
        <v>1.19</v>
      </c>
      <c r="D222" s="13">
        <v>1.1399999999999999</v>
      </c>
      <c r="E222" s="13">
        <f ca="1">Bovespa!BO226</f>
        <v>1.08</v>
      </c>
      <c r="F222" s="13">
        <v>1.08</v>
      </c>
    </row>
    <row r="223" spans="1:6" x14ac:dyDescent="0.25">
      <c r="A223" s="13" t="str">
        <f>Bovespa!BP227</f>
        <v>HBRE3</v>
      </c>
      <c r="B223" s="13">
        <v>3.38</v>
      </c>
      <c r="C223" s="13">
        <v>3.06</v>
      </c>
      <c r="D223" s="13">
        <v>3.01</v>
      </c>
      <c r="E223" s="13">
        <f ca="1">Bovespa!BO227</f>
        <v>3.34</v>
      </c>
      <c r="F223" s="13">
        <v>3.34</v>
      </c>
    </row>
    <row r="224" spans="1:6" x14ac:dyDescent="0.25">
      <c r="A224" s="13" t="str">
        <f>Bovespa!BP228</f>
        <v>RDNI3</v>
      </c>
      <c r="B224" s="13">
        <v>2.39</v>
      </c>
      <c r="C224" s="13">
        <v>2.3199999999999998</v>
      </c>
      <c r="D224" s="13">
        <v>2.31</v>
      </c>
      <c r="E224" s="13">
        <f ca="1">Bovespa!BO228</f>
        <v>2.23</v>
      </c>
      <c r="F224" s="13">
        <v>2.23</v>
      </c>
    </row>
    <row r="225" spans="1:6" x14ac:dyDescent="0.25">
      <c r="A225" s="13" t="str">
        <f>Bovespa!BP229</f>
        <v>PCAR3</v>
      </c>
      <c r="B225" s="13">
        <v>3.22</v>
      </c>
      <c r="C225" s="13">
        <v>3.21</v>
      </c>
      <c r="D225" s="13">
        <v>3.62</v>
      </c>
      <c r="E225" s="13">
        <f ca="1">Bovespa!BO229</f>
        <v>3.49</v>
      </c>
      <c r="F225" s="13">
        <v>3.49</v>
      </c>
    </row>
    <row r="226" spans="1:6" x14ac:dyDescent="0.25">
      <c r="A226" s="13" t="str">
        <f>Bovespa!BP230</f>
        <v>CASH3</v>
      </c>
      <c r="B226" s="13">
        <v>6.95</v>
      </c>
      <c r="C226" s="13">
        <v>7.33</v>
      </c>
      <c r="D226" s="13">
        <v>6.76</v>
      </c>
      <c r="E226" s="13">
        <f ca="1">Bovespa!BO230</f>
        <v>5.48</v>
      </c>
      <c r="F226" s="13">
        <v>5.48</v>
      </c>
    </row>
    <row r="227" spans="1:6" x14ac:dyDescent="0.25">
      <c r="A227" s="13" t="str">
        <f>Bovespa!BP231</f>
        <v>FHER3</v>
      </c>
      <c r="B227" s="13">
        <v>3.95</v>
      </c>
      <c r="C227" s="13">
        <v>4.17</v>
      </c>
      <c r="D227" s="13">
        <v>4.0599999999999996</v>
      </c>
      <c r="E227" s="13">
        <f ca="1">Bovespa!BO231</f>
        <v>4.08</v>
      </c>
      <c r="F227" s="13">
        <v>4.08</v>
      </c>
    </row>
    <row r="228" spans="1:6" x14ac:dyDescent="0.25">
      <c r="A228" s="13" t="str">
        <f>Bovespa!BP232</f>
        <v>GFSA3</v>
      </c>
      <c r="B228" s="13">
        <v>19.05</v>
      </c>
      <c r="C228" s="13">
        <v>19.989999999999998</v>
      </c>
      <c r="D228" s="13">
        <v>17.84</v>
      </c>
      <c r="E228" s="13">
        <f ca="1">Bovespa!BO232</f>
        <v>15.15</v>
      </c>
      <c r="F228" s="13">
        <v>15.15</v>
      </c>
    </row>
    <row r="229" spans="1:6" x14ac:dyDescent="0.25">
      <c r="A229" s="13" t="str">
        <f>Bovespa!BP233</f>
        <v>HYPE3</v>
      </c>
      <c r="B229" s="13">
        <v>27.7</v>
      </c>
      <c r="C229" s="13">
        <v>27.01</v>
      </c>
      <c r="D229" s="13">
        <v>26.42</v>
      </c>
      <c r="E229" s="13">
        <f ca="1">Bovespa!BO233</f>
        <v>25.88</v>
      </c>
      <c r="F229" s="13">
        <v>25.88</v>
      </c>
    </row>
    <row r="230" spans="1:6" x14ac:dyDescent="0.25">
      <c r="A230" s="13" t="str">
        <f>Bovespa!BP234</f>
        <v>ENJU3</v>
      </c>
      <c r="B230" s="13">
        <v>1.1299999999999999</v>
      </c>
      <c r="C230" s="13">
        <v>1.0900000000000001</v>
      </c>
      <c r="D230" s="13">
        <v>1.02</v>
      </c>
      <c r="E230" s="13">
        <f ca="1">Bovespa!BO234</f>
        <v>1.01</v>
      </c>
      <c r="F230" s="13">
        <v>1.01</v>
      </c>
    </row>
    <row r="231" spans="1:6" x14ac:dyDescent="0.25">
      <c r="A231" s="13" t="str">
        <f>Bovespa!BP235</f>
        <v>RAIZ4</v>
      </c>
      <c r="B231" s="13">
        <v>1.71</v>
      </c>
      <c r="C231" s="13">
        <v>1.54</v>
      </c>
      <c r="D231" s="13">
        <v>1.52</v>
      </c>
      <c r="E231" s="13">
        <f ca="1">Bovespa!BO235</f>
        <v>1.4</v>
      </c>
      <c r="F231" s="13">
        <v>1.4</v>
      </c>
    </row>
    <row r="232" spans="1:6" x14ac:dyDescent="0.25">
      <c r="A232" s="13" t="str">
        <f>Bovespa!BP236</f>
        <v>BBAS3</v>
      </c>
      <c r="B232" s="13">
        <v>22.43</v>
      </c>
      <c r="C232" s="13">
        <v>21.2</v>
      </c>
      <c r="D232" s="13">
        <v>20.260000000000002</v>
      </c>
      <c r="E232" s="13">
        <f ca="1">Bovespa!BO236</f>
        <v>18.350000000000001</v>
      </c>
      <c r="F232" s="13">
        <v>18.350000000000001</v>
      </c>
    </row>
    <row r="233" spans="1:6" x14ac:dyDescent="0.25">
      <c r="A233" s="13" t="str">
        <f>Bovespa!BP237</f>
        <v>EPAR3</v>
      </c>
      <c r="B233" s="13">
        <v>4.96</v>
      </c>
      <c r="C233" s="13">
        <v>4.9000000000000004</v>
      </c>
      <c r="D233" s="13">
        <v>4.92</v>
      </c>
      <c r="E233" s="13">
        <f ca="1">Bovespa!BO237</f>
        <v>4.21</v>
      </c>
      <c r="F233" s="13">
        <v>4.21</v>
      </c>
    </row>
    <row r="234" spans="1:6" x14ac:dyDescent="0.25">
      <c r="A234" s="13" t="str">
        <f>Bovespa!BP238</f>
        <v>SYNE3</v>
      </c>
      <c r="B234" s="13">
        <v>6.06</v>
      </c>
      <c r="C234" s="13">
        <v>6.04</v>
      </c>
      <c r="D234" s="13">
        <v>6.48</v>
      </c>
      <c r="E234" s="13">
        <f ca="1">Bovespa!BO238</f>
        <v>6.73</v>
      </c>
      <c r="F234" s="13">
        <v>6.73</v>
      </c>
    </row>
    <row r="235" spans="1:6" x14ac:dyDescent="0.25">
      <c r="A235" s="13" t="str">
        <f>Bovespa!BP239</f>
        <v>MRVE3</v>
      </c>
      <c r="B235" s="13">
        <v>6.29</v>
      </c>
      <c r="C235" s="13">
        <v>6.12</v>
      </c>
      <c r="D235" s="13">
        <v>5.95</v>
      </c>
      <c r="E235" s="13">
        <f ca="1">Bovespa!BO239</f>
        <v>5.99</v>
      </c>
      <c r="F235" s="13">
        <v>5.99</v>
      </c>
    </row>
    <row r="236" spans="1:6" x14ac:dyDescent="0.25">
      <c r="A236" s="13" t="str">
        <f>Bovespa!BP240</f>
        <v>MOVI3</v>
      </c>
      <c r="B236" s="13">
        <v>6.84</v>
      </c>
      <c r="C236" s="13">
        <v>6.25</v>
      </c>
      <c r="D236" s="13">
        <v>6.35</v>
      </c>
      <c r="E236" s="13">
        <f ca="1">Bovespa!BO240</f>
        <v>6.12</v>
      </c>
      <c r="F236" s="13">
        <v>6.12</v>
      </c>
    </row>
    <row r="237" spans="1:6" x14ac:dyDescent="0.25">
      <c r="A237" s="13" t="str">
        <f>Bovespa!BP241</f>
        <v>AZEV4</v>
      </c>
      <c r="B237" s="13">
        <v>0.54</v>
      </c>
      <c r="C237" s="13">
        <v>0.64</v>
      </c>
      <c r="D237" s="13">
        <v>0.56000000000000005</v>
      </c>
      <c r="E237" s="13">
        <f ca="1">Bovespa!BO241</f>
        <v>0.56000000000000005</v>
      </c>
      <c r="F237" s="13">
        <v>0.56000000000000005</v>
      </c>
    </row>
    <row r="238" spans="1:6" x14ac:dyDescent="0.25">
      <c r="A238" s="13" t="str">
        <f>Bovespa!BP242</f>
        <v>CSNA3</v>
      </c>
      <c r="B238" s="13">
        <v>8.2100000000000009</v>
      </c>
      <c r="C238" s="13">
        <v>8.24</v>
      </c>
      <c r="D238" s="13">
        <v>7.82</v>
      </c>
      <c r="E238" s="13">
        <f ca="1">Bovespa!BO242</f>
        <v>7.62</v>
      </c>
      <c r="F238" s="13">
        <v>7.62</v>
      </c>
    </row>
    <row r="239" spans="1:6" x14ac:dyDescent="0.25">
      <c r="A239" s="13" t="str">
        <f>Bovespa!BP243</f>
        <v>CTNM4</v>
      </c>
      <c r="B239" s="13">
        <v>0.86</v>
      </c>
      <c r="C239" s="13">
        <v>0.86</v>
      </c>
      <c r="D239" s="13">
        <v>0.86</v>
      </c>
      <c r="E239" s="13">
        <f ca="1">Bovespa!BO243</f>
        <v>0.86</v>
      </c>
      <c r="F239" s="13">
        <v>0.86</v>
      </c>
    </row>
    <row r="240" spans="1:6" x14ac:dyDescent="0.25">
      <c r="A240" s="13" t="str">
        <f>Bovespa!BP244</f>
        <v>IFCM3</v>
      </c>
      <c r="B240" s="13">
        <v>0.05</v>
      </c>
      <c r="C240" s="13">
        <v>0.05</v>
      </c>
      <c r="D240" s="13">
        <v>0.04</v>
      </c>
      <c r="E240" s="13">
        <f ca="1">Bovespa!BO244</f>
        <v>0.79</v>
      </c>
      <c r="F240" s="13">
        <v>0.79</v>
      </c>
    </row>
    <row r="241" spans="1:6" x14ac:dyDescent="0.25">
      <c r="A241" s="13" t="str">
        <f>Bovespa!BP245</f>
        <v>HAPV3</v>
      </c>
      <c r="B241" s="13">
        <v>35.61</v>
      </c>
      <c r="C241" s="13">
        <v>32.32</v>
      </c>
      <c r="D241" s="13">
        <v>32.19</v>
      </c>
      <c r="E241" s="13">
        <f ca="1">Bovespa!BO245</f>
        <v>32.659999999999997</v>
      </c>
      <c r="F241" s="13">
        <v>32.659999999999997</v>
      </c>
    </row>
    <row r="242" spans="1:6" x14ac:dyDescent="0.25">
      <c r="A242" s="13" t="str">
        <f>Bovespa!BP246</f>
        <v>SEQL3</v>
      </c>
      <c r="B242" s="13">
        <v>1.1200000000000001</v>
      </c>
      <c r="C242" s="13">
        <v>1.08</v>
      </c>
      <c r="D242" s="13">
        <v>0.96</v>
      </c>
      <c r="E242" s="13">
        <f ca="1">Bovespa!BO246</f>
        <v>0.97</v>
      </c>
      <c r="F242" s="13">
        <v>0.97</v>
      </c>
    </row>
    <row r="243" spans="1:6" x14ac:dyDescent="0.25">
      <c r="A243" s="13" t="str">
        <f>Bovespa!BP247</f>
        <v>ZAMP3</v>
      </c>
      <c r="B243" s="13">
        <v>3.4</v>
      </c>
      <c r="C243" s="13">
        <v>3.38</v>
      </c>
      <c r="D243" s="13">
        <v>3.4</v>
      </c>
      <c r="E243" s="13">
        <f ca="1">Bovespa!BO247</f>
        <v>3.48</v>
      </c>
      <c r="F243" s="13">
        <v>3.48</v>
      </c>
    </row>
    <row r="244" spans="1:6" x14ac:dyDescent="0.25">
      <c r="A244" s="13" t="str">
        <f>Bovespa!BP248</f>
        <v>INEP4</v>
      </c>
      <c r="B244" s="13">
        <v>1.69</v>
      </c>
      <c r="C244" s="13">
        <v>1.65</v>
      </c>
      <c r="D244" s="13">
        <v>1.59</v>
      </c>
      <c r="E244" s="13">
        <f ca="1">Bovespa!BO248</f>
        <v>1.4</v>
      </c>
      <c r="F244" s="13">
        <v>1.4</v>
      </c>
    </row>
    <row r="245" spans="1:6" x14ac:dyDescent="0.25">
      <c r="A245" s="13" t="str">
        <f>Bovespa!BP249</f>
        <v>OIBR3</v>
      </c>
      <c r="B245" s="13">
        <v>0.63</v>
      </c>
      <c r="C245" s="13">
        <v>0.56999999999999995</v>
      </c>
      <c r="D245" s="13">
        <v>0.56999999999999995</v>
      </c>
      <c r="E245" s="13">
        <f ca="1">Bovespa!BO249</f>
        <v>0.51</v>
      </c>
      <c r="F245" s="13">
        <v>0.51</v>
      </c>
    </row>
    <row r="246" spans="1:6" x14ac:dyDescent="0.25">
      <c r="A246" s="13" t="str">
        <f>Bovespa!BP250</f>
        <v>CSAN3</v>
      </c>
      <c r="B246" s="13">
        <v>7.14</v>
      </c>
      <c r="C246" s="13">
        <v>6.38</v>
      </c>
      <c r="D246" s="13">
        <v>5.96</v>
      </c>
      <c r="E246" s="13">
        <f ca="1">Bovespa!BO250</f>
        <v>5.82</v>
      </c>
      <c r="F246" s="13">
        <v>5.82</v>
      </c>
    </row>
    <row r="247" spans="1:6" x14ac:dyDescent="0.25">
      <c r="A247" s="13" t="str">
        <f>Bovespa!BP251</f>
        <v>BRKM3</v>
      </c>
      <c r="B247" s="13">
        <v>9.8000000000000007</v>
      </c>
      <c r="C247" s="13">
        <v>10.02</v>
      </c>
      <c r="D247" s="13">
        <v>9</v>
      </c>
      <c r="E247" s="13">
        <f ca="1">Bovespa!BO251</f>
        <v>8.91</v>
      </c>
      <c r="F247" s="13">
        <v>8.91</v>
      </c>
    </row>
    <row r="248" spans="1:6" x14ac:dyDescent="0.25">
      <c r="A248" s="13" t="str">
        <f>Bovespa!BP252</f>
        <v>SHOW3</v>
      </c>
      <c r="B248" s="13">
        <v>6.74</v>
      </c>
      <c r="C248" s="13">
        <v>6.44</v>
      </c>
      <c r="D248" s="13">
        <v>6.66</v>
      </c>
      <c r="E248" s="13">
        <f ca="1">Bovespa!BO252</f>
        <v>6.31</v>
      </c>
      <c r="F248" s="13">
        <v>6.31</v>
      </c>
    </row>
    <row r="249" spans="1:6" x14ac:dyDescent="0.25">
      <c r="A249" s="13" t="str">
        <f>Bovespa!BP253</f>
        <v>AZEV3</v>
      </c>
      <c r="B249" s="13">
        <v>0.46</v>
      </c>
      <c r="C249" s="13">
        <v>0.61</v>
      </c>
      <c r="D249" s="13">
        <v>0.55000000000000004</v>
      </c>
      <c r="E249" s="13">
        <f ca="1">Bovespa!BO253</f>
        <v>0.54</v>
      </c>
      <c r="F249" s="13">
        <v>0.54</v>
      </c>
    </row>
    <row r="250" spans="1:6" x14ac:dyDescent="0.25">
      <c r="A250" s="13" t="str">
        <f>Bovespa!BP254</f>
        <v>GOLL4</v>
      </c>
      <c r="B250" s="13">
        <v>151.31</v>
      </c>
      <c r="C250" s="13">
        <v>40.380000000000003</v>
      </c>
      <c r="D250" s="13">
        <v>3.57</v>
      </c>
      <c r="E250" s="13">
        <f ca="1">Bovespa!BO254</f>
        <v>6.57</v>
      </c>
      <c r="F250" s="13">
        <v>6.57</v>
      </c>
    </row>
    <row r="251" spans="1:6" x14ac:dyDescent="0.25">
      <c r="A251" s="13" t="str">
        <f>Bovespa!BP255</f>
        <v>SEER3</v>
      </c>
      <c r="B251" s="13">
        <v>9.42</v>
      </c>
      <c r="C251" s="13">
        <v>8.69</v>
      </c>
      <c r="D251" s="13">
        <v>8.4</v>
      </c>
      <c r="E251" s="13">
        <f ca="1">Bovespa!BO255</f>
        <v>8.02</v>
      </c>
      <c r="F251" s="13">
        <v>8.02</v>
      </c>
    </row>
    <row r="252" spans="1:6" x14ac:dyDescent="0.25">
      <c r="A252" s="13" t="str">
        <f>Bovespa!BP256</f>
        <v>FESA4</v>
      </c>
      <c r="B252" s="13">
        <v>6.94</v>
      </c>
      <c r="C252" s="13">
        <v>6.83</v>
      </c>
      <c r="D252" s="13">
        <v>6.6</v>
      </c>
      <c r="E252" s="13">
        <f ca="1">Bovespa!BO256</f>
        <v>6.5</v>
      </c>
      <c r="F252" s="13">
        <v>6.5</v>
      </c>
    </row>
    <row r="253" spans="1:6" x14ac:dyDescent="0.25">
      <c r="A253" s="13" t="str">
        <f>Bovespa!BP257</f>
        <v>LJQQ3</v>
      </c>
      <c r="B253" s="13">
        <v>2.6</v>
      </c>
      <c r="C253" s="13">
        <v>2.39</v>
      </c>
      <c r="D253" s="13">
        <v>2.37</v>
      </c>
      <c r="E253" s="13">
        <f ca="1">Bovespa!BO257</f>
        <v>2.5</v>
      </c>
      <c r="F253" s="13">
        <v>2.5</v>
      </c>
    </row>
    <row r="254" spans="1:6" x14ac:dyDescent="0.25">
      <c r="A254" s="13" t="str">
        <f>Bovespa!BP258</f>
        <v>VIVR3</v>
      </c>
      <c r="B254" s="13">
        <v>0.88</v>
      </c>
      <c r="C254" s="13">
        <v>0.85</v>
      </c>
      <c r="D254" s="13">
        <v>0.83</v>
      </c>
      <c r="E254" s="13">
        <f ca="1">Bovespa!BO258</f>
        <v>0.8</v>
      </c>
      <c r="F254" s="13">
        <v>0.8</v>
      </c>
    </row>
    <row r="255" spans="1:6" x14ac:dyDescent="0.25">
      <c r="A255" s="13" t="str">
        <f>Bovespa!BP259</f>
        <v>DASA3</v>
      </c>
      <c r="B255" s="13">
        <v>1.37</v>
      </c>
      <c r="C255" s="13">
        <v>1.31</v>
      </c>
      <c r="D255" s="13">
        <v>1.24</v>
      </c>
      <c r="E255" s="13">
        <f ca="1">Bovespa!BO259</f>
        <v>1.28</v>
      </c>
      <c r="F255" s="13">
        <v>1.28</v>
      </c>
    </row>
    <row r="256" spans="1:6" x14ac:dyDescent="0.25">
      <c r="A256" s="13" t="str">
        <f>Bovespa!BP260</f>
        <v>RSID3</v>
      </c>
      <c r="B256" s="13">
        <v>2.06</v>
      </c>
      <c r="C256" s="13">
        <v>2.06</v>
      </c>
      <c r="D256" s="13">
        <v>2.06</v>
      </c>
      <c r="E256" s="13">
        <f ca="1">Bovespa!BO260</f>
        <v>2.06</v>
      </c>
      <c r="F256" s="13">
        <v>2.06</v>
      </c>
    </row>
    <row r="257" spans="1:6" x14ac:dyDescent="0.25">
      <c r="A257" s="13" t="str">
        <f>Bovespa!BP261</f>
        <v>TCSA3</v>
      </c>
      <c r="B257" s="13">
        <v>1.61</v>
      </c>
      <c r="C257" s="13">
        <v>1.94</v>
      </c>
      <c r="D257" s="13">
        <v>1.8</v>
      </c>
      <c r="E257" s="13">
        <f ca="1">Bovespa!BO261</f>
        <v>1.7</v>
      </c>
      <c r="F257" s="13">
        <v>1.7</v>
      </c>
    </row>
    <row r="258" spans="1:6" x14ac:dyDescent="0.25">
      <c r="A258" s="13" t="str">
        <f>Bovespa!BP262</f>
        <v>AZUL4</v>
      </c>
      <c r="B258" s="13">
        <v>0.93</v>
      </c>
      <c r="C258" s="13">
        <v>0.8</v>
      </c>
      <c r="D258" s="13">
        <v>0.63</v>
      </c>
      <c r="E258" s="13">
        <f ca="1">Bovespa!BO262</f>
        <v>0.67</v>
      </c>
      <c r="F258" s="13">
        <v>0.67</v>
      </c>
    </row>
    <row r="259" spans="1:6" x14ac:dyDescent="0.25">
      <c r="A259" s="13" t="str">
        <f>Bovespa!BP263</f>
        <v>DOTZ3</v>
      </c>
      <c r="B259" s="13">
        <v>6.62</v>
      </c>
      <c r="C259" s="13">
        <v>5.16</v>
      </c>
      <c r="D259" s="13">
        <v>4.9800000000000004</v>
      </c>
      <c r="E259" s="13">
        <f ca="1">Bovespa!BO263</f>
        <v>5.88</v>
      </c>
      <c r="F259" s="13">
        <v>5.88</v>
      </c>
    </row>
    <row r="260" spans="1:6" x14ac:dyDescent="0.25">
      <c r="A260" s="13" t="str">
        <f>Bovespa!BP264</f>
        <v>PMAM3</v>
      </c>
      <c r="B260" s="13">
        <v>1.7</v>
      </c>
      <c r="C260" s="13">
        <v>1.67</v>
      </c>
      <c r="D260" s="13">
        <v>1.64</v>
      </c>
      <c r="E260" s="13">
        <f ca="1">Bovespa!BO264</f>
        <v>1.63</v>
      </c>
      <c r="F260" s="13">
        <v>1.63</v>
      </c>
    </row>
    <row r="261" spans="1:6" x14ac:dyDescent="0.25">
      <c r="A261" s="13" t="str">
        <f>Bovespa!BP265</f>
        <v>VSTE3</v>
      </c>
      <c r="B261" s="13">
        <v>6.07</v>
      </c>
      <c r="C261" s="13">
        <v>6.07</v>
      </c>
      <c r="D261" s="13">
        <v>6.03</v>
      </c>
      <c r="E261" s="13">
        <f ca="1">Bovespa!BO265</f>
        <v>5.7</v>
      </c>
      <c r="F261" s="13">
        <v>5.7</v>
      </c>
    </row>
    <row r="262" spans="1:6" x14ac:dyDescent="0.25">
      <c r="A262" s="13" t="str">
        <f>Bovespa!BP266</f>
        <v>MGEL4</v>
      </c>
      <c r="B262" s="13">
        <v>3.99</v>
      </c>
      <c r="C262" s="13">
        <v>4.05</v>
      </c>
      <c r="D262" s="13">
        <v>4.0199999999999996</v>
      </c>
      <c r="E262" s="13">
        <f ca="1">Bovespa!BO266</f>
        <v>4.1100000000000003</v>
      </c>
      <c r="F262" s="13">
        <v>4.1100000000000003</v>
      </c>
    </row>
    <row r="263" spans="1:6" x14ac:dyDescent="0.25">
      <c r="A263" s="13" t="str">
        <f>Bovespa!BP267</f>
        <v>RCSL3</v>
      </c>
      <c r="B263" s="13">
        <v>2.2999999999999998</v>
      </c>
      <c r="C263" s="13">
        <v>2.12</v>
      </c>
      <c r="D263" s="13">
        <v>2.0299999999999998</v>
      </c>
      <c r="E263" s="13">
        <f ca="1">Bovespa!BO267</f>
        <v>1.82</v>
      </c>
      <c r="F263" s="13">
        <v>1.82</v>
      </c>
    </row>
    <row r="264" spans="1:6" x14ac:dyDescent="0.25">
      <c r="A264" s="13" t="str">
        <f>Bovespa!BP268</f>
        <v>ARML3</v>
      </c>
      <c r="B264" s="13">
        <v>3.76</v>
      </c>
      <c r="C264" s="13">
        <v>4.03</v>
      </c>
      <c r="D264" s="13">
        <v>3.92</v>
      </c>
      <c r="E264" s="13">
        <f ca="1">Bovespa!BO268</f>
        <v>3.6</v>
      </c>
      <c r="F264" s="13">
        <v>3.6</v>
      </c>
    </row>
    <row r="265" spans="1:6" x14ac:dyDescent="0.25">
      <c r="A265" s="13" t="str">
        <f>Bovespa!BP269</f>
        <v>ATMP3</v>
      </c>
      <c r="B265" s="13">
        <v>1.19</v>
      </c>
      <c r="C265" s="13">
        <v>1.1200000000000001</v>
      </c>
      <c r="D265" s="13">
        <v>1.1200000000000001</v>
      </c>
      <c r="E265" s="13">
        <f ca="1">Bovespa!BO269</f>
        <v>1.01</v>
      </c>
      <c r="F265" s="13">
        <v>1.01</v>
      </c>
    </row>
    <row r="266" spans="1:6" x14ac:dyDescent="0.25">
      <c r="A266" s="13" t="str">
        <f>Bovespa!BP270</f>
        <v>CIEL3</v>
      </c>
      <c r="B266" s="13" t="e" vm="272">
        <v>#VALUE!</v>
      </c>
      <c r="C266" s="13" t="e" vm="272">
        <v>#VALUE!</v>
      </c>
      <c r="D266" s="13" t="e" vm="272">
        <v>#VALUE!</v>
      </c>
      <c r="E266" s="13" t="e" vm="152">
        <f>Bovespa!BO270</f>
        <v>#VALUE!</v>
      </c>
      <c r="F266" s="13" t="e" vm="272">
        <v>#VALUE!</v>
      </c>
    </row>
    <row r="267" spans="1:6" x14ac:dyDescent="0.25">
      <c r="A267" s="13" t="str">
        <f>Bovespa!BP271</f>
        <v>TAEE3</v>
      </c>
      <c r="B267" s="13">
        <v>11.62</v>
      </c>
      <c r="C267" s="13">
        <v>11.3</v>
      </c>
      <c r="D267" s="13">
        <v>11.17</v>
      </c>
      <c r="E267" s="13">
        <f ca="1">Bovespa!BO271</f>
        <v>11.12</v>
      </c>
      <c r="F267" s="13">
        <v>11.12</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69B-CF8B-4025-8A60-C73FAEB0AFC8}">
  <dimension ref="A1:F7"/>
  <sheetViews>
    <sheetView workbookViewId="0">
      <selection activeCell="B1" sqref="B1:B1048576"/>
    </sheetView>
  </sheetViews>
  <sheetFormatPr defaultRowHeight="15" x14ac:dyDescent="0.25"/>
  <cols>
    <col min="2" max="2" width="11" bestFit="1" customWidth="1"/>
    <col min="3" max="6" width="10.7109375" bestFit="1" customWidth="1"/>
  </cols>
  <sheetData>
    <row r="1" spans="1:6" x14ac:dyDescent="0.25">
      <c r="A1" t="s">
        <v>475</v>
      </c>
      <c r="B1" s="79">
        <v>45843</v>
      </c>
      <c r="C1" s="79">
        <v>45850</v>
      </c>
      <c r="D1" s="79">
        <v>45857</v>
      </c>
      <c r="E1" s="79">
        <v>45864</v>
      </c>
      <c r="F1" s="79">
        <v>45871</v>
      </c>
    </row>
    <row r="2" spans="1:6" ht="16.5" x14ac:dyDescent="0.3">
      <c r="A2" t="s">
        <v>505</v>
      </c>
      <c r="B2" s="90">
        <v>108200</v>
      </c>
      <c r="C2" s="90">
        <v>117516.99</v>
      </c>
      <c r="D2" s="94" t="s">
        <v>753</v>
      </c>
      <c r="E2" s="94" t="s">
        <v>913</v>
      </c>
      <c r="F2" s="94" t="s">
        <v>1054</v>
      </c>
    </row>
    <row r="3" spans="1:6" ht="16.5" x14ac:dyDescent="0.3">
      <c r="A3" t="s">
        <v>506</v>
      </c>
      <c r="B3" s="90">
        <v>2508.52</v>
      </c>
      <c r="C3" s="90">
        <v>2957.88</v>
      </c>
      <c r="D3" s="94" t="s">
        <v>754</v>
      </c>
      <c r="E3" s="94" t="s">
        <v>914</v>
      </c>
      <c r="F3" s="94" t="s">
        <v>1055</v>
      </c>
    </row>
    <row r="4" spans="1:6" ht="16.5" x14ac:dyDescent="0.3">
      <c r="A4" t="s">
        <v>581</v>
      </c>
      <c r="B4" s="90">
        <v>147.56</v>
      </c>
      <c r="C4" s="90">
        <v>162.88</v>
      </c>
      <c r="D4" s="94" t="s">
        <v>755</v>
      </c>
      <c r="E4" s="94" t="s">
        <v>915</v>
      </c>
      <c r="F4" s="94" t="s">
        <v>1056</v>
      </c>
    </row>
    <row r="5" spans="1:6" ht="16.5" x14ac:dyDescent="0.3">
      <c r="A5" t="s">
        <v>657</v>
      </c>
      <c r="B5" s="90">
        <v>656</v>
      </c>
      <c r="C5" s="90">
        <v>685.7</v>
      </c>
      <c r="D5" s="94" t="s">
        <v>756</v>
      </c>
      <c r="E5" s="94" t="s">
        <v>916</v>
      </c>
      <c r="F5" s="94" t="s">
        <v>1057</v>
      </c>
    </row>
    <row r="6" spans="1:6" ht="16.5" x14ac:dyDescent="0.3">
      <c r="A6" t="s">
        <v>658</v>
      </c>
      <c r="B6" s="90">
        <v>0.57550000000000001</v>
      </c>
      <c r="C6" s="90">
        <v>0.70860000000000001</v>
      </c>
      <c r="D6" s="94" t="s">
        <v>757</v>
      </c>
      <c r="E6" s="94" t="s">
        <v>917</v>
      </c>
      <c r="F6" s="94" t="s">
        <v>1058</v>
      </c>
    </row>
    <row r="7" spans="1:6" ht="16.5" x14ac:dyDescent="0.3">
      <c r="A7" t="s">
        <v>659</v>
      </c>
      <c r="B7" s="90">
        <v>2.2179000000000002</v>
      </c>
      <c r="C7" s="90">
        <v>2.7376</v>
      </c>
      <c r="D7" s="94" t="s">
        <v>758</v>
      </c>
      <c r="E7" s="94" t="s">
        <v>918</v>
      </c>
      <c r="F7" s="94" t="s">
        <v>1059</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8F51-9E3C-4B7A-9EA0-7A545BDC3835}">
  <dimension ref="A1:F78"/>
  <sheetViews>
    <sheetView workbookViewId="0">
      <selection activeCell="B1" sqref="B1:B1048576"/>
    </sheetView>
  </sheetViews>
  <sheetFormatPr defaultRowHeight="15" x14ac:dyDescent="0.25"/>
  <cols>
    <col min="1" max="1" width="10.5703125" customWidth="1"/>
    <col min="2" max="6" width="10.7109375" bestFit="1" customWidth="1"/>
  </cols>
  <sheetData>
    <row r="1" spans="1:6" x14ac:dyDescent="0.25">
      <c r="A1" t="s">
        <v>475</v>
      </c>
      <c r="B1" s="79">
        <v>45843</v>
      </c>
      <c r="C1" s="79">
        <v>45850</v>
      </c>
      <c r="D1" s="79">
        <v>45857</v>
      </c>
      <c r="E1" s="79">
        <v>45864</v>
      </c>
      <c r="F1" s="79">
        <v>45871</v>
      </c>
    </row>
    <row r="2" spans="1:6" ht="16.5" x14ac:dyDescent="0.3">
      <c r="A2" t="s">
        <v>670</v>
      </c>
      <c r="B2" s="90">
        <v>15.75127601623535</v>
      </c>
      <c r="C2" s="90">
        <v>17.127019882202148</v>
      </c>
      <c r="D2" s="94" t="s">
        <v>759</v>
      </c>
      <c r="E2" s="94" t="s">
        <v>919</v>
      </c>
      <c r="F2" s="94" t="s">
        <v>1060</v>
      </c>
    </row>
    <row r="3" spans="1:6" ht="16.5" x14ac:dyDescent="0.3">
      <c r="A3" t="s">
        <v>699</v>
      </c>
      <c r="B3" s="90">
        <v>50.5</v>
      </c>
      <c r="C3" s="90">
        <v>51.560001373291023</v>
      </c>
      <c r="D3" s="94" t="s">
        <v>760</v>
      </c>
      <c r="E3" s="94" t="s">
        <v>920</v>
      </c>
      <c r="F3" s="94" t="s">
        <v>1061</v>
      </c>
    </row>
    <row r="4" spans="1:6" ht="16.5" x14ac:dyDescent="0.3">
      <c r="A4" t="s">
        <v>715</v>
      </c>
      <c r="B4" s="90">
        <v>642.1199951171875</v>
      </c>
      <c r="C4" s="90">
        <v>642.1199951171875</v>
      </c>
      <c r="D4" s="94" t="s">
        <v>761</v>
      </c>
      <c r="E4" s="94" t="s">
        <v>921</v>
      </c>
      <c r="F4" s="94" t="s">
        <v>1062</v>
      </c>
    </row>
    <row r="5" spans="1:6" ht="16.5" x14ac:dyDescent="0.3">
      <c r="A5" t="s">
        <v>730</v>
      </c>
      <c r="B5" s="90">
        <v>285.07000732421881</v>
      </c>
      <c r="C5" s="90">
        <v>296.510009765625</v>
      </c>
      <c r="D5" s="94" t="s">
        <v>762</v>
      </c>
      <c r="E5" s="94" t="s">
        <v>922</v>
      </c>
      <c r="F5" s="94" t="s">
        <v>1063</v>
      </c>
    </row>
    <row r="6" spans="1:6" ht="16.5" x14ac:dyDescent="0.3">
      <c r="A6" t="s">
        <v>702</v>
      </c>
      <c r="B6" s="90">
        <v>271.35000610351563</v>
      </c>
      <c r="C6" s="90">
        <v>271.35000610351563</v>
      </c>
      <c r="D6" s="94" t="s">
        <v>763</v>
      </c>
      <c r="E6" s="94" t="s">
        <v>763</v>
      </c>
      <c r="F6" s="94" t="s">
        <v>763</v>
      </c>
    </row>
    <row r="7" spans="1:6" ht="16.5" x14ac:dyDescent="0.3">
      <c r="A7" t="s">
        <v>672</v>
      </c>
      <c r="B7" s="90">
        <v>39.479999542236328</v>
      </c>
      <c r="C7" s="90">
        <v>39.720001220703118</v>
      </c>
      <c r="D7" s="94" t="s">
        <v>764</v>
      </c>
      <c r="E7" s="94" t="s">
        <v>923</v>
      </c>
      <c r="F7" s="94" t="s">
        <v>1064</v>
      </c>
    </row>
    <row r="8" spans="1:6" ht="16.5" x14ac:dyDescent="0.3">
      <c r="A8" t="s">
        <v>688</v>
      </c>
      <c r="B8" s="90">
        <v>359.6400146484375</v>
      </c>
      <c r="C8" s="90">
        <v>335.20001220703119</v>
      </c>
      <c r="D8" s="94" t="s">
        <v>765</v>
      </c>
      <c r="E8" s="94" t="s">
        <v>765</v>
      </c>
      <c r="F8" s="94" t="s">
        <v>765</v>
      </c>
    </row>
    <row r="9" spans="1:6" ht="16.5" x14ac:dyDescent="0.3">
      <c r="A9" t="s">
        <v>704</v>
      </c>
      <c r="B9" s="90">
        <v>279.45001220703119</v>
      </c>
      <c r="C9" s="90">
        <v>280.82998657226563</v>
      </c>
      <c r="D9" s="94" t="s">
        <v>766</v>
      </c>
      <c r="E9" s="94" t="s">
        <v>924</v>
      </c>
      <c r="F9" s="94" t="s">
        <v>924</v>
      </c>
    </row>
    <row r="10" spans="1:6" ht="16.5" x14ac:dyDescent="0.3">
      <c r="A10" t="s">
        <v>673</v>
      </c>
      <c r="B10" s="90">
        <v>59.279998779296882</v>
      </c>
      <c r="C10" s="90">
        <v>61.409999847412109</v>
      </c>
      <c r="D10" s="94" t="s">
        <v>767</v>
      </c>
      <c r="E10" s="94" t="s">
        <v>925</v>
      </c>
      <c r="F10" s="94" t="s">
        <v>1065</v>
      </c>
    </row>
    <row r="11" spans="1:6" ht="16.5" x14ac:dyDescent="0.3">
      <c r="A11" t="s">
        <v>674</v>
      </c>
      <c r="B11" s="90">
        <v>572</v>
      </c>
      <c r="C11" s="90">
        <v>561.1199951171875</v>
      </c>
      <c r="D11" s="94" t="s">
        <v>768</v>
      </c>
      <c r="E11" s="94" t="s">
        <v>926</v>
      </c>
      <c r="F11" s="94" t="s">
        <v>926</v>
      </c>
    </row>
    <row r="12" spans="1:6" ht="16.5" x14ac:dyDescent="0.3">
      <c r="A12" t="s">
        <v>675</v>
      </c>
      <c r="B12" s="90">
        <v>331.25894165039063</v>
      </c>
      <c r="C12" s="90">
        <v>331.20001220703119</v>
      </c>
      <c r="D12" s="94" t="s">
        <v>769</v>
      </c>
      <c r="E12" s="94" t="s">
        <v>769</v>
      </c>
      <c r="F12" s="94" t="s">
        <v>1066</v>
      </c>
    </row>
    <row r="13" spans="1:6" ht="16.5" x14ac:dyDescent="0.3">
      <c r="A13" t="s">
        <v>686</v>
      </c>
      <c r="B13" s="90">
        <v>382.75</v>
      </c>
      <c r="C13" s="90">
        <v>382.75</v>
      </c>
      <c r="D13" s="94" t="s">
        <v>770</v>
      </c>
      <c r="E13" s="94" t="s">
        <v>770</v>
      </c>
      <c r="F13" s="94" t="s">
        <v>770</v>
      </c>
    </row>
    <row r="14" spans="1:6" ht="16.5" x14ac:dyDescent="0.3">
      <c r="A14" t="s">
        <v>724</v>
      </c>
      <c r="B14" s="90">
        <v>47.799999237060547</v>
      </c>
      <c r="C14" s="90">
        <v>48.209999084472663</v>
      </c>
      <c r="D14" s="94" t="s">
        <v>771</v>
      </c>
      <c r="E14" s="94" t="s">
        <v>927</v>
      </c>
      <c r="F14" s="94" t="s">
        <v>1067</v>
      </c>
    </row>
    <row r="15" spans="1:6" ht="16.5" x14ac:dyDescent="0.3">
      <c r="A15" t="s">
        <v>737</v>
      </c>
      <c r="B15" s="90">
        <v>903.3499755859375</v>
      </c>
      <c r="C15" s="90">
        <v>869.46002197265625</v>
      </c>
      <c r="D15" s="94" t="s">
        <v>772</v>
      </c>
      <c r="E15" s="94" t="s">
        <v>928</v>
      </c>
      <c r="F15" s="94" t="s">
        <v>928</v>
      </c>
    </row>
    <row r="16" spans="1:6" ht="16.5" x14ac:dyDescent="0.3">
      <c r="A16" t="s">
        <v>678</v>
      </c>
      <c r="B16" s="90">
        <v>36.900001525878913</v>
      </c>
      <c r="C16" s="90">
        <v>35.439998626708977</v>
      </c>
      <c r="D16" s="94" t="s">
        <v>773</v>
      </c>
      <c r="E16" s="94" t="s">
        <v>929</v>
      </c>
      <c r="F16" s="94" t="s">
        <v>1068</v>
      </c>
    </row>
    <row r="17" spans="1:6" ht="16.5" x14ac:dyDescent="0.3">
      <c r="A17" t="s">
        <v>681</v>
      </c>
      <c r="B17" s="90">
        <v>14.689999580383301</v>
      </c>
      <c r="C17" s="90">
        <v>15.05000019073486</v>
      </c>
      <c r="D17" s="94" t="s">
        <v>774</v>
      </c>
      <c r="E17" s="94" t="s">
        <v>930</v>
      </c>
      <c r="F17" s="94" t="s">
        <v>1069</v>
      </c>
    </row>
    <row r="18" spans="1:6" ht="16.5" x14ac:dyDescent="0.3">
      <c r="A18" t="s">
        <v>685</v>
      </c>
      <c r="B18" s="90">
        <v>252.74000549316409</v>
      </c>
      <c r="C18" s="90">
        <v>255.8800048828125</v>
      </c>
      <c r="D18" s="94" t="s">
        <v>775</v>
      </c>
      <c r="E18" s="94" t="s">
        <v>931</v>
      </c>
      <c r="F18" s="94" t="s">
        <v>1070</v>
      </c>
    </row>
    <row r="19" spans="1:6" ht="16.5" x14ac:dyDescent="0.3">
      <c r="A19" t="s">
        <v>680</v>
      </c>
      <c r="B19" s="90">
        <v>268.42999267578119</v>
      </c>
      <c r="C19" s="90">
        <v>269.45999145507813</v>
      </c>
      <c r="D19" s="94" t="s">
        <v>776</v>
      </c>
      <c r="E19" s="94" t="s">
        <v>776</v>
      </c>
      <c r="F19" s="94" t="s">
        <v>776</v>
      </c>
    </row>
    <row r="20" spans="1:6" ht="16.5" x14ac:dyDescent="0.3">
      <c r="A20" t="s">
        <v>691</v>
      </c>
      <c r="B20" s="90">
        <v>85.739997863769531</v>
      </c>
      <c r="C20" s="90">
        <v>85.739997863769531</v>
      </c>
      <c r="D20" s="94" t="s">
        <v>777</v>
      </c>
      <c r="E20" s="94" t="s">
        <v>932</v>
      </c>
      <c r="F20" s="94" t="s">
        <v>1071</v>
      </c>
    </row>
    <row r="21" spans="1:6" ht="16.5" x14ac:dyDescent="0.3">
      <c r="A21" t="s">
        <v>671</v>
      </c>
      <c r="B21" s="90">
        <v>99</v>
      </c>
      <c r="C21" s="90">
        <v>91.529998779296875</v>
      </c>
      <c r="D21" s="94" t="s">
        <v>778</v>
      </c>
      <c r="E21" s="94" t="s">
        <v>933</v>
      </c>
      <c r="F21" s="94" t="s">
        <v>1072</v>
      </c>
    </row>
    <row r="22" spans="1:6" ht="16.5" x14ac:dyDescent="0.3">
      <c r="A22" t="s">
        <v>711</v>
      </c>
      <c r="B22" s="90">
        <v>41.319999694824219</v>
      </c>
      <c r="C22" s="90">
        <v>41.319999694824219</v>
      </c>
      <c r="D22" s="94" t="s">
        <v>779</v>
      </c>
      <c r="E22" s="94" t="s">
        <v>934</v>
      </c>
      <c r="F22" s="94" t="s">
        <v>934</v>
      </c>
    </row>
    <row r="23" spans="1:6" ht="16.5" x14ac:dyDescent="0.3">
      <c r="A23" t="s">
        <v>709</v>
      </c>
      <c r="B23" s="90">
        <v>726.27001953125</v>
      </c>
      <c r="C23" s="90">
        <v>737.29998779296875</v>
      </c>
      <c r="D23" s="94" t="s">
        <v>780</v>
      </c>
      <c r="E23" s="94" t="s">
        <v>935</v>
      </c>
      <c r="F23" s="94" t="s">
        <v>1073</v>
      </c>
    </row>
    <row r="24" spans="1:6" ht="16.5" x14ac:dyDescent="0.3">
      <c r="A24" t="s">
        <v>726</v>
      </c>
      <c r="B24" s="90">
        <v>102.63999938964839</v>
      </c>
      <c r="C24" s="90">
        <v>105.7900009155273</v>
      </c>
      <c r="D24" s="94" t="s">
        <v>781</v>
      </c>
      <c r="E24" s="94" t="s">
        <v>909</v>
      </c>
      <c r="F24" s="94" t="s">
        <v>1074</v>
      </c>
    </row>
    <row r="25" spans="1:6" ht="16.5" x14ac:dyDescent="0.3">
      <c r="A25" t="s">
        <v>733</v>
      </c>
      <c r="B25" s="90">
        <v>141</v>
      </c>
      <c r="C25" s="90">
        <v>136.08000183105469</v>
      </c>
      <c r="D25" s="94" t="s">
        <v>782</v>
      </c>
      <c r="E25" s="94" t="s">
        <v>936</v>
      </c>
      <c r="F25" s="94" t="s">
        <v>1075</v>
      </c>
    </row>
    <row r="26" spans="1:6" ht="16.5" x14ac:dyDescent="0.3">
      <c r="A26" t="s">
        <v>722</v>
      </c>
      <c r="B26" s="90">
        <v>487</v>
      </c>
      <c r="C26" s="90">
        <v>475.30999755859381</v>
      </c>
      <c r="D26" s="94" t="s">
        <v>783</v>
      </c>
      <c r="E26" s="94" t="s">
        <v>783</v>
      </c>
      <c r="F26" s="94" t="s">
        <v>783</v>
      </c>
    </row>
    <row r="27" spans="1:6" ht="16.5" x14ac:dyDescent="0.3">
      <c r="A27" t="s">
        <v>721</v>
      </c>
      <c r="B27" s="90">
        <v>350</v>
      </c>
      <c r="C27" s="90">
        <v>350</v>
      </c>
      <c r="D27" s="94" t="s">
        <v>784</v>
      </c>
      <c r="E27" s="94" t="s">
        <v>784</v>
      </c>
      <c r="F27" s="94" t="s">
        <v>784</v>
      </c>
    </row>
    <row r="28" spans="1:6" ht="16.5" x14ac:dyDescent="0.3">
      <c r="A28" t="s">
        <v>723</v>
      </c>
      <c r="B28" s="90">
        <v>100.8000030517578</v>
      </c>
      <c r="C28" s="90">
        <v>106.0299987792969</v>
      </c>
      <c r="D28" s="94" t="s">
        <v>785</v>
      </c>
      <c r="E28" s="94" t="s">
        <v>937</v>
      </c>
      <c r="F28" s="94" t="s">
        <v>1076</v>
      </c>
    </row>
    <row r="29" spans="1:6" ht="16.5" x14ac:dyDescent="0.3">
      <c r="A29" t="s">
        <v>676</v>
      </c>
      <c r="B29" s="90">
        <v>385.50357055664063</v>
      </c>
      <c r="C29" s="90">
        <v>389.51998901367188</v>
      </c>
      <c r="D29" s="94" t="s">
        <v>786</v>
      </c>
      <c r="E29" s="94" t="s">
        <v>938</v>
      </c>
      <c r="F29" s="94" t="s">
        <v>1077</v>
      </c>
    </row>
    <row r="30" spans="1:6" ht="16.5" x14ac:dyDescent="0.3">
      <c r="A30" t="s">
        <v>713</v>
      </c>
      <c r="B30" s="90">
        <v>266.22000122070313</v>
      </c>
      <c r="C30" s="90">
        <v>270.54000854492188</v>
      </c>
      <c r="D30" s="94" t="s">
        <v>787</v>
      </c>
      <c r="E30" s="94" t="s">
        <v>939</v>
      </c>
      <c r="F30" s="94" t="s">
        <v>1078</v>
      </c>
    </row>
    <row r="31" spans="1:6" ht="16.5" x14ac:dyDescent="0.3">
      <c r="A31" t="s">
        <v>683</v>
      </c>
      <c r="B31" s="90">
        <v>95.510002136230469</v>
      </c>
      <c r="C31" s="90">
        <v>105</v>
      </c>
      <c r="D31" s="94" t="s">
        <v>788</v>
      </c>
      <c r="E31" s="94" t="s">
        <v>940</v>
      </c>
      <c r="F31" s="94" t="s">
        <v>1079</v>
      </c>
    </row>
    <row r="32" spans="1:6" ht="16.5" x14ac:dyDescent="0.3">
      <c r="A32" t="s">
        <v>732</v>
      </c>
      <c r="B32" s="90">
        <v>125.7600021362305</v>
      </c>
      <c r="C32" s="90">
        <v>116.879997253418</v>
      </c>
      <c r="D32" s="94" t="s">
        <v>789</v>
      </c>
      <c r="E32" s="94" t="s">
        <v>941</v>
      </c>
      <c r="F32" s="94" t="s">
        <v>1080</v>
      </c>
    </row>
    <row r="33" spans="1:6" ht="16.5" x14ac:dyDescent="0.3">
      <c r="A33" t="s">
        <v>738</v>
      </c>
      <c r="B33" s="90">
        <v>63.200000762939453</v>
      </c>
      <c r="C33" s="90">
        <v>63.200000762939453</v>
      </c>
      <c r="D33" s="94" t="s">
        <v>790</v>
      </c>
      <c r="E33" s="94" t="s">
        <v>790</v>
      </c>
      <c r="F33" s="94" t="s">
        <v>1081</v>
      </c>
    </row>
    <row r="34" spans="1:6" ht="16.5" x14ac:dyDescent="0.3">
      <c r="A34" t="s">
        <v>740</v>
      </c>
      <c r="B34" s="90">
        <v>276.3699951171875</v>
      </c>
      <c r="C34" s="90">
        <v>264.16000366210938</v>
      </c>
      <c r="D34" s="94" t="s">
        <v>791</v>
      </c>
      <c r="E34" s="94" t="s">
        <v>791</v>
      </c>
      <c r="F34" s="94" t="s">
        <v>791</v>
      </c>
    </row>
    <row r="35" spans="1:6" ht="16.5" x14ac:dyDescent="0.3">
      <c r="A35" t="s">
        <v>746</v>
      </c>
      <c r="B35" s="90">
        <v>14.19999980926514</v>
      </c>
      <c r="C35" s="90">
        <v>14.19999980926514</v>
      </c>
      <c r="D35" s="94" t="s">
        <v>792</v>
      </c>
      <c r="E35" s="94" t="s">
        <v>942</v>
      </c>
      <c r="F35" s="94" t="s">
        <v>1082</v>
      </c>
    </row>
    <row r="36" spans="1:6" ht="16.5" x14ac:dyDescent="0.3">
      <c r="A36" t="s">
        <v>744</v>
      </c>
      <c r="B36" s="90">
        <v>444.42001342773438</v>
      </c>
      <c r="C36" s="90">
        <v>417.89999389648438</v>
      </c>
      <c r="D36" s="94" t="s">
        <v>793</v>
      </c>
      <c r="E36" s="94" t="s">
        <v>793</v>
      </c>
      <c r="F36" s="94" t="s">
        <v>1083</v>
      </c>
    </row>
    <row r="37" spans="1:6" ht="16.5" x14ac:dyDescent="0.3">
      <c r="A37" t="s">
        <v>690</v>
      </c>
      <c r="B37" s="90">
        <v>45.950000762939453</v>
      </c>
      <c r="C37" s="90">
        <v>44.799999237060547</v>
      </c>
      <c r="D37" s="94" t="s">
        <v>794</v>
      </c>
      <c r="E37" s="94" t="s">
        <v>794</v>
      </c>
      <c r="F37" s="94" t="s">
        <v>1084</v>
      </c>
    </row>
    <row r="38" spans="1:6" ht="16.5" x14ac:dyDescent="0.3">
      <c r="A38" t="s">
        <v>745</v>
      </c>
      <c r="B38" s="90">
        <v>420.42001342773438</v>
      </c>
      <c r="C38" s="90">
        <v>419.3800048828125</v>
      </c>
      <c r="D38" s="94" t="s">
        <v>795</v>
      </c>
      <c r="E38" s="94" t="s">
        <v>943</v>
      </c>
      <c r="F38" s="94" t="s">
        <v>1085</v>
      </c>
    </row>
    <row r="39" spans="1:6" ht="16.5" x14ac:dyDescent="0.3">
      <c r="A39" t="s">
        <v>749</v>
      </c>
      <c r="B39" s="90">
        <v>278.60000610351563</v>
      </c>
      <c r="C39" s="90">
        <v>271.05999755859381</v>
      </c>
      <c r="D39" s="94" t="s">
        <v>796</v>
      </c>
      <c r="E39" s="94" t="s">
        <v>944</v>
      </c>
      <c r="F39" s="94" t="s">
        <v>1086</v>
      </c>
    </row>
    <row r="40" spans="1:6" ht="16.5" x14ac:dyDescent="0.3">
      <c r="A40" t="s">
        <v>750</v>
      </c>
      <c r="B40" s="90">
        <v>531.80999755859375</v>
      </c>
      <c r="C40" s="90">
        <v>531.80999755859375</v>
      </c>
      <c r="D40" s="94" t="s">
        <v>797</v>
      </c>
      <c r="E40" s="94" t="s">
        <v>797</v>
      </c>
      <c r="F40" s="94" t="s">
        <v>797</v>
      </c>
    </row>
    <row r="41" spans="1:6" ht="16.5" x14ac:dyDescent="0.3">
      <c r="A41" t="s">
        <v>708</v>
      </c>
      <c r="B41" s="90">
        <v>190</v>
      </c>
      <c r="C41" s="90">
        <v>188.86000061035159</v>
      </c>
      <c r="D41" s="94" t="s">
        <v>798</v>
      </c>
      <c r="E41" s="94" t="s">
        <v>945</v>
      </c>
      <c r="F41" s="94" t="s">
        <v>1087</v>
      </c>
    </row>
    <row r="42" spans="1:6" ht="16.5" x14ac:dyDescent="0.3">
      <c r="A42" t="s">
        <v>741</v>
      </c>
      <c r="B42" s="90">
        <v>63.720001220703118</v>
      </c>
      <c r="C42" s="90">
        <v>64.089996337890625</v>
      </c>
      <c r="D42" s="94" t="s">
        <v>799</v>
      </c>
      <c r="E42" s="94" t="s">
        <v>946</v>
      </c>
      <c r="F42" s="94" t="s">
        <v>1088</v>
      </c>
    </row>
    <row r="43" spans="1:6" ht="16.5" x14ac:dyDescent="0.3">
      <c r="A43" t="s">
        <v>697</v>
      </c>
      <c r="B43" s="90">
        <v>12.13000011444092</v>
      </c>
      <c r="C43" s="90">
        <v>12.13000011444092</v>
      </c>
      <c r="D43" s="94" t="s">
        <v>800</v>
      </c>
      <c r="E43" s="94" t="s">
        <v>806</v>
      </c>
      <c r="F43" s="94" t="s">
        <v>1089</v>
      </c>
    </row>
    <row r="44" spans="1:6" ht="16.5" x14ac:dyDescent="0.3">
      <c r="A44" t="s">
        <v>731</v>
      </c>
      <c r="B44" s="90">
        <v>95.339996337890625</v>
      </c>
      <c r="C44" s="90">
        <v>97</v>
      </c>
      <c r="D44" s="94" t="s">
        <v>801</v>
      </c>
      <c r="E44" s="94" t="s">
        <v>947</v>
      </c>
      <c r="F44" s="94" t="s">
        <v>1090</v>
      </c>
    </row>
    <row r="45" spans="1:6" ht="16.5" x14ac:dyDescent="0.3">
      <c r="A45" t="s">
        <v>736</v>
      </c>
      <c r="B45" s="90">
        <v>11.510000228881839</v>
      </c>
      <c r="C45" s="90">
        <v>11.39999961853027</v>
      </c>
      <c r="D45" s="94" t="s">
        <v>802</v>
      </c>
      <c r="E45" s="94" t="s">
        <v>948</v>
      </c>
      <c r="F45" s="94" t="s">
        <v>1091</v>
      </c>
    </row>
    <row r="46" spans="1:6" ht="16.5" x14ac:dyDescent="0.3">
      <c r="A46" t="s">
        <v>735</v>
      </c>
      <c r="B46" s="90">
        <v>47.25</v>
      </c>
      <c r="C46" s="90">
        <v>46.650001525878913</v>
      </c>
      <c r="D46" s="94" t="s">
        <v>803</v>
      </c>
      <c r="E46" s="94" t="s">
        <v>949</v>
      </c>
      <c r="F46" s="94" t="s">
        <v>1092</v>
      </c>
    </row>
    <row r="47" spans="1:6" ht="16.5" x14ac:dyDescent="0.3">
      <c r="A47" t="s">
        <v>665</v>
      </c>
      <c r="B47" s="90">
        <v>62.080001831054688</v>
      </c>
      <c r="C47" s="90">
        <v>63.229999542236328</v>
      </c>
      <c r="D47" s="94" t="s">
        <v>804</v>
      </c>
      <c r="E47" s="94" t="s">
        <v>804</v>
      </c>
      <c r="F47" s="94" t="s">
        <v>1093</v>
      </c>
    </row>
    <row r="48" spans="1:6" ht="16.5" x14ac:dyDescent="0.3">
      <c r="A48" t="s">
        <v>751</v>
      </c>
      <c r="B48" s="90">
        <v>248.69999694824219</v>
      </c>
      <c r="C48" s="90">
        <v>236.53999328613281</v>
      </c>
      <c r="D48" s="94" t="s">
        <v>805</v>
      </c>
      <c r="E48" s="94" t="s">
        <v>950</v>
      </c>
      <c r="F48" s="94" t="s">
        <v>1094</v>
      </c>
    </row>
    <row r="49" spans="1:6" ht="16.5" x14ac:dyDescent="0.3">
      <c r="A49" t="s">
        <v>752</v>
      </c>
      <c r="B49" s="90">
        <v>14.10999965667725</v>
      </c>
      <c r="C49" s="90">
        <v>14.10999965667725</v>
      </c>
      <c r="D49" s="94" t="s">
        <v>806</v>
      </c>
      <c r="E49" s="94" t="s">
        <v>629</v>
      </c>
      <c r="F49" s="94" t="s">
        <v>629</v>
      </c>
    </row>
    <row r="50" spans="1:6" ht="16.5" x14ac:dyDescent="0.3">
      <c r="A50" t="s">
        <v>703</v>
      </c>
      <c r="B50" s="90">
        <v>61.319999694824219</v>
      </c>
      <c r="C50" s="90">
        <v>64.199996948242188</v>
      </c>
      <c r="D50" s="94" t="s">
        <v>807</v>
      </c>
      <c r="E50" s="94" t="s">
        <v>951</v>
      </c>
      <c r="F50" s="94" t="s">
        <v>1095</v>
      </c>
    </row>
    <row r="51" spans="1:6" ht="16.5" x14ac:dyDescent="0.3">
      <c r="A51" t="s">
        <v>725</v>
      </c>
      <c r="B51" s="90">
        <v>55.080001831054688</v>
      </c>
      <c r="C51" s="90">
        <v>57.200000762939453</v>
      </c>
      <c r="D51" s="94" t="s">
        <v>808</v>
      </c>
      <c r="E51" s="94" t="s">
        <v>952</v>
      </c>
      <c r="F51" s="94" t="s">
        <v>1096</v>
      </c>
    </row>
    <row r="52" spans="1:6" ht="16.5" x14ac:dyDescent="0.3">
      <c r="A52" t="s">
        <v>663</v>
      </c>
      <c r="B52" s="90">
        <v>62.527557373046882</v>
      </c>
      <c r="C52" s="90">
        <v>62.438091278076172</v>
      </c>
      <c r="D52" s="94" t="s">
        <v>809</v>
      </c>
      <c r="E52" s="94" t="s">
        <v>953</v>
      </c>
      <c r="F52" s="94" t="s">
        <v>1097</v>
      </c>
    </row>
    <row r="53" spans="1:6" ht="16.5" x14ac:dyDescent="0.3">
      <c r="A53" t="s">
        <v>662</v>
      </c>
      <c r="B53" s="90">
        <v>60.768428802490227</v>
      </c>
      <c r="C53" s="90">
        <v>60.050693511962891</v>
      </c>
      <c r="D53" s="94" t="s">
        <v>810</v>
      </c>
      <c r="E53" s="94" t="s">
        <v>954</v>
      </c>
      <c r="F53" s="94" t="s">
        <v>1098</v>
      </c>
    </row>
    <row r="54" spans="1:6" ht="16.5" x14ac:dyDescent="0.3">
      <c r="A54" t="s">
        <v>718</v>
      </c>
      <c r="B54" s="90">
        <v>64.879997253417969</v>
      </c>
      <c r="C54" s="90">
        <v>61.900001525878913</v>
      </c>
      <c r="D54" s="94" t="s">
        <v>811</v>
      </c>
      <c r="E54" s="94" t="s">
        <v>955</v>
      </c>
      <c r="F54" s="94" t="s">
        <v>1099</v>
      </c>
    </row>
    <row r="55" spans="1:6" ht="16.5" x14ac:dyDescent="0.3">
      <c r="A55" t="s">
        <v>666</v>
      </c>
      <c r="B55" s="90">
        <v>1614.924072265625</v>
      </c>
      <c r="C55" s="90">
        <v>1650.108154296875</v>
      </c>
      <c r="D55" s="94" t="s">
        <v>812</v>
      </c>
      <c r="E55" s="94" t="s">
        <v>956</v>
      </c>
      <c r="F55" s="94" t="s">
        <v>1100</v>
      </c>
    </row>
    <row r="56" spans="1:6" ht="16.5" x14ac:dyDescent="0.3">
      <c r="A56" t="s">
        <v>669</v>
      </c>
      <c r="B56" s="90">
        <v>43.490001678466797</v>
      </c>
      <c r="C56" s="90">
        <v>42.009998321533203</v>
      </c>
      <c r="D56" s="94" t="s">
        <v>813</v>
      </c>
      <c r="E56" s="94" t="s">
        <v>957</v>
      </c>
      <c r="F56" s="94" t="s">
        <v>1101</v>
      </c>
    </row>
    <row r="57" spans="1:6" ht="16.5" x14ac:dyDescent="0.3">
      <c r="A57" t="s">
        <v>747</v>
      </c>
      <c r="B57" s="90">
        <v>68.389999389648438</v>
      </c>
      <c r="C57" s="90">
        <v>69.720001220703125</v>
      </c>
      <c r="D57" s="94" t="s">
        <v>814</v>
      </c>
      <c r="E57" s="94" t="s">
        <v>958</v>
      </c>
      <c r="F57" s="94" t="s">
        <v>1102</v>
      </c>
    </row>
    <row r="58" spans="1:6" ht="16.5" x14ac:dyDescent="0.3">
      <c r="A58" t="s">
        <v>706</v>
      </c>
      <c r="B58" s="90">
        <v>466.14999389648438</v>
      </c>
      <c r="C58" s="90">
        <v>448.67001342773438</v>
      </c>
      <c r="D58" s="94" t="s">
        <v>815</v>
      </c>
      <c r="E58" s="94" t="s">
        <v>959</v>
      </c>
      <c r="F58" s="94" t="s">
        <v>1103</v>
      </c>
    </row>
    <row r="59" spans="1:6" ht="16.5" x14ac:dyDescent="0.3">
      <c r="A59" t="s">
        <v>677</v>
      </c>
      <c r="B59" s="90">
        <v>36.5</v>
      </c>
      <c r="C59" s="90">
        <v>36.229999542236328</v>
      </c>
      <c r="D59" s="94" t="s">
        <v>816</v>
      </c>
      <c r="E59" s="94" t="s">
        <v>960</v>
      </c>
      <c r="F59" s="94" t="s">
        <v>1104</v>
      </c>
    </row>
    <row r="60" spans="1:6" ht="16.5" x14ac:dyDescent="0.3">
      <c r="A60" t="s">
        <v>712</v>
      </c>
      <c r="B60" s="90">
        <v>54.360000610351563</v>
      </c>
      <c r="C60" s="90">
        <v>58.319999694824219</v>
      </c>
      <c r="D60" s="94" t="s">
        <v>817</v>
      </c>
      <c r="E60" s="94" t="s">
        <v>961</v>
      </c>
      <c r="F60" s="94" t="s">
        <v>1105</v>
      </c>
    </row>
    <row r="61" spans="1:6" ht="16.5" x14ac:dyDescent="0.3">
      <c r="A61" t="s">
        <v>696</v>
      </c>
      <c r="B61" s="90">
        <v>60.490001678466797</v>
      </c>
      <c r="C61" s="90">
        <v>60.200000762939453</v>
      </c>
      <c r="D61" s="94" t="s">
        <v>818</v>
      </c>
      <c r="E61" s="94" t="s">
        <v>962</v>
      </c>
      <c r="F61" s="94" t="s">
        <v>1106</v>
      </c>
    </row>
    <row r="62" spans="1:6" ht="16.5" x14ac:dyDescent="0.3">
      <c r="A62" t="s">
        <v>728</v>
      </c>
      <c r="B62" s="90">
        <v>193.19999694824219</v>
      </c>
      <c r="C62" s="90">
        <v>193.19999694824219</v>
      </c>
      <c r="D62" s="94" t="s">
        <v>819</v>
      </c>
      <c r="E62" s="94" t="s">
        <v>963</v>
      </c>
      <c r="F62" s="94" t="s">
        <v>963</v>
      </c>
    </row>
    <row r="63" spans="1:6" ht="16.5" x14ac:dyDescent="0.3">
      <c r="A63" t="s">
        <v>729</v>
      </c>
      <c r="B63" s="90">
        <v>86.489997863769531</v>
      </c>
      <c r="C63" s="90">
        <v>87.410003662109375</v>
      </c>
      <c r="D63" s="94" t="s">
        <v>820</v>
      </c>
      <c r="E63" s="94" t="s">
        <v>964</v>
      </c>
      <c r="F63" s="94" t="s">
        <v>1107</v>
      </c>
    </row>
    <row r="64" spans="1:6" ht="16.5" x14ac:dyDescent="0.3">
      <c r="A64" t="s">
        <v>739</v>
      </c>
      <c r="B64" s="90">
        <v>79.120002746582031</v>
      </c>
      <c r="C64" s="90">
        <v>78</v>
      </c>
      <c r="D64" s="94" t="s">
        <v>821</v>
      </c>
      <c r="E64" s="94" t="s">
        <v>965</v>
      </c>
      <c r="F64" s="94" t="s">
        <v>1108</v>
      </c>
    </row>
    <row r="65" spans="1:6" ht="16.5" x14ac:dyDescent="0.3">
      <c r="A65" t="s">
        <v>742</v>
      </c>
      <c r="B65" s="90">
        <v>50.540855407714837</v>
      </c>
      <c r="C65" s="90">
        <v>49.639934539794922</v>
      </c>
      <c r="D65" s="94" t="s">
        <v>822</v>
      </c>
      <c r="E65" s="94" t="s">
        <v>966</v>
      </c>
      <c r="F65" s="94" t="s">
        <v>1109</v>
      </c>
    </row>
    <row r="66" spans="1:6" ht="16.5" x14ac:dyDescent="0.3">
      <c r="A66" t="s">
        <v>320</v>
      </c>
      <c r="B66" s="90">
        <v>47.049999237060547</v>
      </c>
      <c r="C66" s="90">
        <v>47</v>
      </c>
      <c r="D66" s="94" t="s">
        <v>823</v>
      </c>
      <c r="E66" s="94" t="s">
        <v>967</v>
      </c>
      <c r="F66" s="94" t="s">
        <v>1110</v>
      </c>
    </row>
    <row r="67" spans="1:6" ht="16.5" x14ac:dyDescent="0.3">
      <c r="A67" t="s">
        <v>734</v>
      </c>
      <c r="B67" s="90">
        <v>886.8599853515625</v>
      </c>
      <c r="C67" s="90">
        <v>886.8599853515625</v>
      </c>
      <c r="D67" s="94" t="s">
        <v>824</v>
      </c>
      <c r="E67" s="94" t="s">
        <v>824</v>
      </c>
      <c r="F67" s="94" t="s">
        <v>824</v>
      </c>
    </row>
    <row r="68" spans="1:6" ht="16.5" x14ac:dyDescent="0.3">
      <c r="A68" t="s">
        <v>705</v>
      </c>
      <c r="B68" s="90">
        <v>173.32624816894531</v>
      </c>
      <c r="C68" s="90">
        <v>176.13999938964841</v>
      </c>
      <c r="D68" s="94" t="s">
        <v>825</v>
      </c>
      <c r="E68" s="94" t="s">
        <v>968</v>
      </c>
      <c r="F68" s="94" t="s">
        <v>1111</v>
      </c>
    </row>
    <row r="69" spans="1:6" ht="16.5" x14ac:dyDescent="0.3">
      <c r="A69" t="s">
        <v>748</v>
      </c>
      <c r="B69" s="90">
        <v>90</v>
      </c>
      <c r="C69" s="90">
        <v>91.260002136230469</v>
      </c>
      <c r="D69" s="94" t="s">
        <v>826</v>
      </c>
      <c r="E69" s="94" t="s">
        <v>969</v>
      </c>
      <c r="F69" s="94" t="s">
        <v>1112</v>
      </c>
    </row>
    <row r="70" spans="1:6" ht="16.5" x14ac:dyDescent="0.3">
      <c r="A70" t="s">
        <v>684</v>
      </c>
      <c r="B70" s="90">
        <v>22.389999389648441</v>
      </c>
      <c r="C70" s="90">
        <v>21.020000457763668</v>
      </c>
      <c r="D70" s="94" t="s">
        <v>827</v>
      </c>
      <c r="E70" s="94" t="s">
        <v>970</v>
      </c>
      <c r="F70" s="94" t="s">
        <v>1113</v>
      </c>
    </row>
    <row r="71" spans="1:6" ht="16.5" x14ac:dyDescent="0.3">
      <c r="A71" t="s">
        <v>700</v>
      </c>
      <c r="B71" s="90">
        <v>64.400001525878906</v>
      </c>
      <c r="C71" s="90">
        <v>64.400001525878906</v>
      </c>
      <c r="D71" s="94" t="s">
        <v>828</v>
      </c>
      <c r="E71" s="94" t="s">
        <v>971</v>
      </c>
      <c r="F71" s="94" t="s">
        <v>1114</v>
      </c>
    </row>
    <row r="72" spans="1:6" ht="16.5" x14ac:dyDescent="0.3">
      <c r="A72" t="s">
        <v>692</v>
      </c>
      <c r="B72" s="90">
        <v>80.919998168945313</v>
      </c>
      <c r="C72" s="90">
        <v>80.650001525878906</v>
      </c>
      <c r="D72" s="94" t="s">
        <v>829</v>
      </c>
      <c r="E72" s="94" t="s">
        <v>972</v>
      </c>
      <c r="F72" s="94" t="s">
        <v>1115</v>
      </c>
    </row>
    <row r="73" spans="1:6" ht="16.5" x14ac:dyDescent="0.3">
      <c r="A73" t="s">
        <v>693</v>
      </c>
      <c r="B73" s="90">
        <v>80.279998779296875</v>
      </c>
      <c r="C73" s="90">
        <v>79.879997253417969</v>
      </c>
      <c r="D73" s="94" t="s">
        <v>830</v>
      </c>
      <c r="E73" s="94" t="s">
        <v>973</v>
      </c>
      <c r="F73" s="94" t="s">
        <v>1116</v>
      </c>
    </row>
    <row r="74" spans="1:6" ht="16.5" x14ac:dyDescent="0.3">
      <c r="A74" t="s">
        <v>660</v>
      </c>
      <c r="B74" s="90">
        <v>207.80000305175781</v>
      </c>
      <c r="C74" s="90">
        <v>203</v>
      </c>
      <c r="D74" s="94" t="s">
        <v>831</v>
      </c>
      <c r="E74" s="94" t="s">
        <v>974</v>
      </c>
      <c r="F74" s="94" t="s">
        <v>1117</v>
      </c>
    </row>
    <row r="75" spans="1:6" ht="16.5" x14ac:dyDescent="0.3">
      <c r="A75" t="s">
        <v>695</v>
      </c>
      <c r="B75" s="90">
        <v>321.010009765625</v>
      </c>
      <c r="C75" s="90">
        <v>319.48001098632813</v>
      </c>
      <c r="D75" s="94" t="s">
        <v>832</v>
      </c>
      <c r="E75" s="94" t="s">
        <v>975</v>
      </c>
      <c r="F75" s="94" t="s">
        <v>1118</v>
      </c>
    </row>
    <row r="76" spans="1:6" ht="16.5" x14ac:dyDescent="0.3">
      <c r="A76" t="s">
        <v>719</v>
      </c>
      <c r="B76" s="90">
        <v>110</v>
      </c>
      <c r="C76" s="90">
        <v>106.51999664306641</v>
      </c>
      <c r="D76" s="94" t="s">
        <v>833</v>
      </c>
      <c r="E76" s="94" t="s">
        <v>976</v>
      </c>
      <c r="F76" s="94" t="s">
        <v>1119</v>
      </c>
    </row>
    <row r="77" spans="1:6" ht="16.5" x14ac:dyDescent="0.3">
      <c r="A77" t="s">
        <v>743</v>
      </c>
      <c r="B77" s="90">
        <v>55.599998474121087</v>
      </c>
      <c r="C77" s="90">
        <v>58.020000457763672</v>
      </c>
      <c r="D77" s="94" t="s">
        <v>834</v>
      </c>
      <c r="E77" s="94" t="s">
        <v>977</v>
      </c>
      <c r="F77" s="94" t="s">
        <v>1120</v>
      </c>
    </row>
    <row r="78" spans="1:6" ht="16.5" x14ac:dyDescent="0.3">
      <c r="A78" t="s">
        <v>707</v>
      </c>
      <c r="B78" s="90">
        <v>50.049999237060547</v>
      </c>
      <c r="C78" s="90">
        <v>51.159999847412109</v>
      </c>
      <c r="D78" s="94" t="s">
        <v>835</v>
      </c>
      <c r="E78" s="94" t="s">
        <v>978</v>
      </c>
      <c r="F78" s="94" t="s">
        <v>1121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1DC-94A9-46E0-9EEA-040A97715940}">
  <dimension ref="A1:F56"/>
  <sheetViews>
    <sheetView workbookViewId="0">
      <selection activeCell="I6" sqref="I6"/>
    </sheetView>
  </sheetViews>
  <sheetFormatPr defaultRowHeight="15" x14ac:dyDescent="0.25"/>
  <cols>
    <col min="1" max="1" width="15" customWidth="1"/>
    <col min="2" max="2" width="10.7109375" bestFit="1" customWidth="1"/>
    <col min="3" max="3" width="10.7109375" customWidth="1"/>
    <col min="4" max="6" width="10.7109375" bestFit="1" customWidth="1"/>
  </cols>
  <sheetData>
    <row r="1" spans="1:6" x14ac:dyDescent="0.25">
      <c r="A1" t="s">
        <v>475</v>
      </c>
      <c r="B1" s="79">
        <v>45843</v>
      </c>
      <c r="C1" s="79">
        <v>45850</v>
      </c>
      <c r="D1" s="79">
        <v>45857</v>
      </c>
      <c r="E1" s="79">
        <v>45864</v>
      </c>
      <c r="F1" s="79">
        <v>45871</v>
      </c>
    </row>
    <row r="2" spans="1:6" ht="16.5" x14ac:dyDescent="0.3">
      <c r="A2" t="s">
        <v>507</v>
      </c>
      <c r="B2" s="90">
        <v>14.72999954223633</v>
      </c>
      <c r="C2" s="90" t="s">
        <v>586</v>
      </c>
      <c r="D2" s="90" t="s">
        <v>836</v>
      </c>
      <c r="E2" s="90" t="s">
        <v>979</v>
      </c>
      <c r="F2" s="90" t="s">
        <v>1122</v>
      </c>
    </row>
    <row r="3" spans="1:6" ht="16.5" x14ac:dyDescent="0.3">
      <c r="A3" t="s">
        <v>508</v>
      </c>
      <c r="B3" s="90">
        <v>46.490001678466797</v>
      </c>
      <c r="C3" s="90" t="s">
        <v>587</v>
      </c>
      <c r="D3" s="90" t="s">
        <v>794</v>
      </c>
      <c r="E3" s="90" t="s">
        <v>980</v>
      </c>
      <c r="F3" s="90" t="s">
        <v>1166</v>
      </c>
    </row>
    <row r="4" spans="1:6" ht="16.5" x14ac:dyDescent="0.3">
      <c r="A4" t="s">
        <v>509</v>
      </c>
      <c r="B4" s="90">
        <v>41.159999847412109</v>
      </c>
      <c r="C4" s="90" t="s">
        <v>588</v>
      </c>
      <c r="D4" s="90" t="s">
        <v>837</v>
      </c>
      <c r="E4" s="90" t="s">
        <v>981</v>
      </c>
      <c r="F4" s="90" t="s">
        <v>1167</v>
      </c>
    </row>
    <row r="5" spans="1:6" ht="16.5" x14ac:dyDescent="0.3">
      <c r="A5" t="s">
        <v>510</v>
      </c>
      <c r="B5" s="90">
        <v>73.900001525878906</v>
      </c>
      <c r="C5" s="90" t="s">
        <v>589</v>
      </c>
      <c r="D5" s="90" t="s">
        <v>838</v>
      </c>
      <c r="E5" s="90" t="s">
        <v>982</v>
      </c>
      <c r="F5" s="90" t="s">
        <v>1139</v>
      </c>
    </row>
    <row r="6" spans="1:6" ht="16.5" x14ac:dyDescent="0.3">
      <c r="A6" t="s">
        <v>511</v>
      </c>
      <c r="B6" s="90">
        <v>115.9700012207031</v>
      </c>
      <c r="C6" s="90" t="s">
        <v>590</v>
      </c>
      <c r="D6" s="90" t="s">
        <v>839</v>
      </c>
      <c r="E6" s="90" t="s">
        <v>983</v>
      </c>
      <c r="F6" s="90" t="s">
        <v>1168</v>
      </c>
    </row>
    <row r="7" spans="1:6" ht="16.5" x14ac:dyDescent="0.3">
      <c r="A7" t="s">
        <v>512</v>
      </c>
      <c r="B7" s="90">
        <v>136.8500061035156</v>
      </c>
      <c r="C7" s="90" t="s">
        <v>591</v>
      </c>
      <c r="D7" s="90" t="s">
        <v>840</v>
      </c>
      <c r="E7" s="90" t="s">
        <v>984</v>
      </c>
      <c r="F7" s="90" t="s">
        <v>1140</v>
      </c>
    </row>
    <row r="8" spans="1:6" ht="16.5" x14ac:dyDescent="0.3">
      <c r="A8" t="s">
        <v>513</v>
      </c>
      <c r="B8" s="90">
        <v>121.75</v>
      </c>
      <c r="C8" s="90" t="s">
        <v>592</v>
      </c>
      <c r="D8" s="90" t="s">
        <v>841</v>
      </c>
      <c r="E8" s="90" t="s">
        <v>985</v>
      </c>
      <c r="F8" s="90" t="s">
        <v>1141</v>
      </c>
    </row>
    <row r="9" spans="1:6" ht="16.5" x14ac:dyDescent="0.3">
      <c r="A9" t="s">
        <v>514</v>
      </c>
      <c r="B9" s="90">
        <v>132.4700012207031</v>
      </c>
      <c r="C9" s="90" t="s">
        <v>593</v>
      </c>
      <c r="D9" s="90" t="s">
        <v>842</v>
      </c>
      <c r="E9" s="90" t="s">
        <v>986</v>
      </c>
      <c r="F9" s="90" t="s">
        <v>1142</v>
      </c>
    </row>
    <row r="10" spans="1:6" ht="16.5" x14ac:dyDescent="0.3">
      <c r="A10" t="s">
        <v>515</v>
      </c>
      <c r="B10" s="90">
        <v>131.16999816894531</v>
      </c>
      <c r="C10" s="90" t="s">
        <v>594</v>
      </c>
      <c r="D10" s="90" t="s">
        <v>843</v>
      </c>
      <c r="E10" s="90" t="s">
        <v>987</v>
      </c>
      <c r="F10" s="90" t="s">
        <v>1143</v>
      </c>
    </row>
    <row r="11" spans="1:6" ht="16.5" x14ac:dyDescent="0.3">
      <c r="A11" t="s">
        <v>516</v>
      </c>
      <c r="B11" s="90">
        <v>138.1300048828125</v>
      </c>
      <c r="C11" s="90" t="s">
        <v>595</v>
      </c>
      <c r="D11" s="90" t="s">
        <v>844</v>
      </c>
      <c r="E11" s="90" t="s">
        <v>988</v>
      </c>
      <c r="F11" s="90" t="s">
        <v>1144</v>
      </c>
    </row>
    <row r="12" spans="1:6" ht="16.5" x14ac:dyDescent="0.3">
      <c r="A12" t="s">
        <v>517</v>
      </c>
      <c r="B12" s="90">
        <v>143.94999694824219</v>
      </c>
      <c r="C12" s="90" t="s">
        <v>596</v>
      </c>
      <c r="D12" s="90" t="s">
        <v>845</v>
      </c>
      <c r="E12" s="90" t="s">
        <v>989</v>
      </c>
      <c r="F12" s="90" t="s">
        <v>1145</v>
      </c>
    </row>
    <row r="13" spans="1:6" ht="16.5" x14ac:dyDescent="0.3">
      <c r="A13" t="s">
        <v>518</v>
      </c>
      <c r="B13" s="90">
        <v>144.83000183105469</v>
      </c>
      <c r="C13" s="90" t="s">
        <v>597</v>
      </c>
      <c r="D13" s="90" t="s">
        <v>846</v>
      </c>
      <c r="E13" s="90" t="s">
        <v>990</v>
      </c>
      <c r="F13" s="90" t="s">
        <v>1146</v>
      </c>
    </row>
    <row r="14" spans="1:6" ht="16.5" x14ac:dyDescent="0.3">
      <c r="A14" t="s">
        <v>519</v>
      </c>
      <c r="B14" s="90">
        <v>14.420000076293951</v>
      </c>
      <c r="C14" s="90" t="s">
        <v>585</v>
      </c>
      <c r="D14" s="90" t="s">
        <v>847</v>
      </c>
      <c r="E14" s="90" t="s">
        <v>991</v>
      </c>
      <c r="F14" s="90" t="s">
        <v>1147</v>
      </c>
    </row>
    <row r="15" spans="1:6" ht="16.5" x14ac:dyDescent="0.3">
      <c r="A15" t="s">
        <v>520</v>
      </c>
      <c r="B15" s="90">
        <v>118.4700012207031</v>
      </c>
      <c r="C15" s="90" t="s">
        <v>598</v>
      </c>
      <c r="D15" s="90" t="s">
        <v>848</v>
      </c>
      <c r="E15" s="90" t="s">
        <v>992</v>
      </c>
      <c r="F15" s="90" t="s">
        <v>1148</v>
      </c>
    </row>
    <row r="16" spans="1:6" ht="16.5" x14ac:dyDescent="0.3">
      <c r="A16" t="s">
        <v>521</v>
      </c>
      <c r="B16" s="90">
        <v>136.47999572753909</v>
      </c>
      <c r="C16" s="90" t="s">
        <v>599</v>
      </c>
      <c r="D16" s="90" t="s">
        <v>849</v>
      </c>
      <c r="E16" s="90" t="s">
        <v>993</v>
      </c>
      <c r="F16" s="90" t="s">
        <v>1169</v>
      </c>
    </row>
    <row r="17" spans="1:6" ht="16.5" x14ac:dyDescent="0.3">
      <c r="A17" t="s">
        <v>522</v>
      </c>
      <c r="B17" s="90">
        <v>13.340000152587891</v>
      </c>
      <c r="C17" s="90" t="s">
        <v>600</v>
      </c>
      <c r="D17" s="90" t="s">
        <v>850</v>
      </c>
      <c r="E17" s="90" t="s">
        <v>994</v>
      </c>
      <c r="F17" s="90" t="s">
        <v>1170</v>
      </c>
    </row>
    <row r="18" spans="1:6" ht="16.5" x14ac:dyDescent="0.3">
      <c r="A18" t="s">
        <v>523</v>
      </c>
      <c r="B18" s="90">
        <v>6.6999998092651367</v>
      </c>
      <c r="C18" s="90" t="s">
        <v>583</v>
      </c>
      <c r="D18" s="90" t="s">
        <v>851</v>
      </c>
      <c r="E18" s="90" t="s">
        <v>995</v>
      </c>
      <c r="F18" s="90" t="s">
        <v>1149</v>
      </c>
    </row>
    <row r="19" spans="1:6" ht="16.5" x14ac:dyDescent="0.3">
      <c r="A19" t="s">
        <v>524</v>
      </c>
      <c r="B19" s="90">
        <v>104.25</v>
      </c>
      <c r="C19" s="90" t="s">
        <v>601</v>
      </c>
      <c r="D19" s="90" t="s">
        <v>852</v>
      </c>
      <c r="E19" s="90" t="s">
        <v>996</v>
      </c>
      <c r="F19" s="90" t="s">
        <v>1150</v>
      </c>
    </row>
    <row r="20" spans="1:6" ht="16.5" x14ac:dyDescent="0.3">
      <c r="A20" t="s">
        <v>525</v>
      </c>
      <c r="B20" s="90">
        <v>10.14999961853027</v>
      </c>
      <c r="C20" s="90" t="s">
        <v>602</v>
      </c>
      <c r="D20" s="90" t="s">
        <v>853</v>
      </c>
      <c r="E20" s="90" t="s">
        <v>997</v>
      </c>
      <c r="F20" s="90" t="s">
        <v>1171</v>
      </c>
    </row>
    <row r="21" spans="1:6" ht="16.5" x14ac:dyDescent="0.3">
      <c r="A21" t="s">
        <v>526</v>
      </c>
      <c r="B21" s="90">
        <v>131.19999694824219</v>
      </c>
      <c r="C21" s="90" t="s">
        <v>603</v>
      </c>
      <c r="D21" s="90" t="s">
        <v>854</v>
      </c>
      <c r="E21" s="90" t="s">
        <v>998</v>
      </c>
      <c r="F21" s="90" t="s">
        <v>1151</v>
      </c>
    </row>
    <row r="22" spans="1:6" ht="16.5" x14ac:dyDescent="0.3">
      <c r="A22" t="s">
        <v>527</v>
      </c>
      <c r="B22" s="90">
        <v>112.8000030517578</v>
      </c>
      <c r="C22" s="90" t="s">
        <v>604</v>
      </c>
      <c r="D22" s="90" t="s">
        <v>855</v>
      </c>
      <c r="E22" s="90" t="s">
        <v>999</v>
      </c>
      <c r="F22" s="90" t="s">
        <v>1152</v>
      </c>
    </row>
    <row r="23" spans="1:6" ht="16.5" x14ac:dyDescent="0.3">
      <c r="A23" t="s">
        <v>528</v>
      </c>
      <c r="B23" s="90">
        <v>39.099998474121087</v>
      </c>
      <c r="C23" s="90" t="s">
        <v>605</v>
      </c>
      <c r="D23" s="90" t="s">
        <v>856</v>
      </c>
      <c r="E23" s="90" t="s">
        <v>1000</v>
      </c>
      <c r="F23" s="90" t="s">
        <v>1123</v>
      </c>
    </row>
    <row r="24" spans="1:6" ht="16.5" x14ac:dyDescent="0.3">
      <c r="A24" t="s">
        <v>529</v>
      </c>
      <c r="B24" s="90">
        <v>152.55999755859381</v>
      </c>
      <c r="C24" s="90" t="s">
        <v>606</v>
      </c>
      <c r="D24" s="90" t="s">
        <v>857</v>
      </c>
      <c r="E24" s="90" t="s">
        <v>1001</v>
      </c>
      <c r="F24" s="90" t="s">
        <v>1153</v>
      </c>
    </row>
    <row r="25" spans="1:6" ht="16.5" x14ac:dyDescent="0.3">
      <c r="A25" t="s">
        <v>530</v>
      </c>
      <c r="B25" s="90">
        <v>19.20999908447266</v>
      </c>
      <c r="C25" s="90" t="s">
        <v>607</v>
      </c>
      <c r="D25" s="90" t="s">
        <v>858</v>
      </c>
      <c r="E25" s="90" t="s">
        <v>1002</v>
      </c>
      <c r="F25" s="90" t="s">
        <v>1124</v>
      </c>
    </row>
    <row r="26" spans="1:6" ht="16.5" x14ac:dyDescent="0.3">
      <c r="A26" t="s">
        <v>497</v>
      </c>
      <c r="B26" s="90">
        <v>18.909999847412109</v>
      </c>
      <c r="C26" s="90" t="s">
        <v>608</v>
      </c>
      <c r="D26" s="90" t="s">
        <v>859</v>
      </c>
      <c r="E26" s="90" t="s">
        <v>1003</v>
      </c>
      <c r="F26" s="90" t="s">
        <v>1125</v>
      </c>
    </row>
    <row r="27" spans="1:6" ht="16.5" x14ac:dyDescent="0.3">
      <c r="A27" t="s">
        <v>531</v>
      </c>
      <c r="B27" s="90">
        <v>61.680000305175781</v>
      </c>
      <c r="C27" s="90" t="s">
        <v>609</v>
      </c>
      <c r="D27" s="90" t="s">
        <v>860</v>
      </c>
      <c r="E27" s="90" t="s">
        <v>1004</v>
      </c>
      <c r="F27" s="90" t="s">
        <v>1154</v>
      </c>
    </row>
    <row r="28" spans="1:6" ht="16.5" x14ac:dyDescent="0.3">
      <c r="A28" t="s">
        <v>532</v>
      </c>
      <c r="B28" s="90">
        <v>76.349998474121094</v>
      </c>
      <c r="C28" s="90" t="s">
        <v>610</v>
      </c>
      <c r="D28" s="90" t="s">
        <v>861</v>
      </c>
      <c r="E28" s="90" t="s">
        <v>1005</v>
      </c>
      <c r="F28" s="90" t="s">
        <v>1155</v>
      </c>
    </row>
    <row r="29" spans="1:6" ht="16.5" x14ac:dyDescent="0.3">
      <c r="A29" t="s">
        <v>533</v>
      </c>
      <c r="B29" s="90">
        <v>48.569999694824219</v>
      </c>
      <c r="C29" s="90" t="s">
        <v>611</v>
      </c>
      <c r="D29" s="90" t="s">
        <v>862</v>
      </c>
      <c r="E29" s="90" t="s">
        <v>1006</v>
      </c>
      <c r="F29" s="90" t="s">
        <v>1156</v>
      </c>
    </row>
    <row r="30" spans="1:6" ht="16.5" x14ac:dyDescent="0.3">
      <c r="A30" t="s">
        <v>534</v>
      </c>
      <c r="B30" s="90">
        <v>116.2099990844727</v>
      </c>
      <c r="C30" s="90" t="s">
        <v>612</v>
      </c>
      <c r="D30" s="90" t="s">
        <v>863</v>
      </c>
      <c r="E30" s="90" t="s">
        <v>1007</v>
      </c>
      <c r="F30" s="90" t="s">
        <v>1157</v>
      </c>
    </row>
    <row r="31" spans="1:6" ht="16.5" x14ac:dyDescent="0.3">
      <c r="A31" t="s">
        <v>535</v>
      </c>
      <c r="B31" s="90">
        <v>90.919998168945313</v>
      </c>
      <c r="C31" s="90" t="s">
        <v>613</v>
      </c>
      <c r="D31" s="90" t="s">
        <v>864</v>
      </c>
      <c r="E31" s="90" t="s">
        <v>1008</v>
      </c>
      <c r="F31" s="90" t="s">
        <v>1126</v>
      </c>
    </row>
    <row r="32" spans="1:6" ht="16.5" x14ac:dyDescent="0.3">
      <c r="A32" t="s">
        <v>536</v>
      </c>
      <c r="B32" s="90">
        <v>39.310001373291023</v>
      </c>
      <c r="C32" s="90" t="s">
        <v>614</v>
      </c>
      <c r="D32" s="90" t="s">
        <v>865</v>
      </c>
      <c r="E32" s="90" t="s">
        <v>1009</v>
      </c>
      <c r="F32" s="90" t="s">
        <v>1158</v>
      </c>
    </row>
    <row r="33" spans="1:6" ht="16.5" x14ac:dyDescent="0.3">
      <c r="A33" t="s">
        <v>537</v>
      </c>
      <c r="B33" s="90">
        <v>379.39999389648438</v>
      </c>
      <c r="C33" s="90" t="s">
        <v>615</v>
      </c>
      <c r="D33" s="90" t="s">
        <v>866</v>
      </c>
      <c r="E33" s="90" t="s">
        <v>1010</v>
      </c>
      <c r="F33" s="90" t="s">
        <v>1127</v>
      </c>
    </row>
    <row r="34" spans="1:6" ht="16.5" x14ac:dyDescent="0.3">
      <c r="A34" t="s">
        <v>538</v>
      </c>
      <c r="B34" s="90">
        <v>142.88999938964841</v>
      </c>
      <c r="C34" s="90" t="s">
        <v>616</v>
      </c>
      <c r="D34" s="90" t="s">
        <v>867</v>
      </c>
      <c r="E34" s="90" t="s">
        <v>1011</v>
      </c>
      <c r="F34" s="90" t="s">
        <v>1172</v>
      </c>
    </row>
    <row r="35" spans="1:6" ht="16.5" x14ac:dyDescent="0.3">
      <c r="A35" t="s">
        <v>539</v>
      </c>
      <c r="B35" s="90">
        <v>135.86000061035159</v>
      </c>
      <c r="C35" s="90" t="s">
        <v>617</v>
      </c>
      <c r="D35" s="90" t="s">
        <v>868</v>
      </c>
      <c r="E35" s="90" t="s">
        <v>1012</v>
      </c>
      <c r="F35" s="90" t="s">
        <v>1138</v>
      </c>
    </row>
    <row r="36" spans="1:6" ht="16.5" x14ac:dyDescent="0.3">
      <c r="A36" t="s">
        <v>540</v>
      </c>
      <c r="B36" s="90">
        <v>51.569999694824219</v>
      </c>
      <c r="C36" s="90" t="s">
        <v>618</v>
      </c>
      <c r="D36" s="90" t="s">
        <v>869</v>
      </c>
      <c r="E36" s="90" t="s">
        <v>1013</v>
      </c>
      <c r="F36" s="90" t="s">
        <v>1173</v>
      </c>
    </row>
    <row r="37" spans="1:6" ht="16.5" x14ac:dyDescent="0.3">
      <c r="A37" t="s">
        <v>541</v>
      </c>
      <c r="B37" s="90">
        <v>77.620002746582031</v>
      </c>
      <c r="C37" s="90" t="s">
        <v>619</v>
      </c>
      <c r="D37" s="90" t="s">
        <v>870</v>
      </c>
      <c r="E37" s="90" t="s">
        <v>1014</v>
      </c>
      <c r="F37" s="90" t="s">
        <v>1159</v>
      </c>
    </row>
    <row r="38" spans="1:6" ht="16.5" x14ac:dyDescent="0.3">
      <c r="A38" t="s">
        <v>542</v>
      </c>
      <c r="B38" s="90">
        <v>17.180000305175781</v>
      </c>
      <c r="C38" s="90" t="s">
        <v>620</v>
      </c>
      <c r="D38" s="90" t="s">
        <v>871</v>
      </c>
      <c r="E38" s="90" t="s">
        <v>1015</v>
      </c>
      <c r="F38" s="90" t="s">
        <v>1128</v>
      </c>
    </row>
    <row r="39" spans="1:6" ht="16.5" x14ac:dyDescent="0.3">
      <c r="A39" t="s">
        <v>543</v>
      </c>
      <c r="B39" s="90">
        <v>248.8500061035156</v>
      </c>
      <c r="C39" s="90" t="s">
        <v>621</v>
      </c>
      <c r="D39" s="90" t="s">
        <v>872</v>
      </c>
      <c r="E39" s="90" t="s">
        <v>1016</v>
      </c>
      <c r="F39" s="90" t="s">
        <v>1160</v>
      </c>
    </row>
    <row r="40" spans="1:6" ht="16.5" x14ac:dyDescent="0.3">
      <c r="A40" t="s">
        <v>544</v>
      </c>
      <c r="B40" s="90">
        <v>35.220001220703118</v>
      </c>
      <c r="C40" s="90" t="s">
        <v>622</v>
      </c>
      <c r="D40" s="90" t="s">
        <v>873</v>
      </c>
      <c r="E40" s="90" t="s">
        <v>1017</v>
      </c>
      <c r="F40" s="90" t="s">
        <v>1174</v>
      </c>
    </row>
    <row r="41" spans="1:6" ht="16.5" x14ac:dyDescent="0.3">
      <c r="A41" t="s">
        <v>545</v>
      </c>
      <c r="B41" s="90">
        <v>9.3999996185302734</v>
      </c>
      <c r="C41" s="90" t="s">
        <v>623</v>
      </c>
      <c r="D41" s="90" t="s">
        <v>874</v>
      </c>
      <c r="E41" s="90" t="s">
        <v>1018</v>
      </c>
      <c r="F41" s="90" t="s">
        <v>1129</v>
      </c>
    </row>
    <row r="42" spans="1:6" ht="16.5" x14ac:dyDescent="0.3">
      <c r="A42" t="s">
        <v>546</v>
      </c>
      <c r="B42" s="90">
        <v>64.55999755859375</v>
      </c>
      <c r="C42" s="90" t="s">
        <v>624</v>
      </c>
      <c r="D42" s="90" t="s">
        <v>875</v>
      </c>
      <c r="E42" s="90" t="s">
        <v>1019</v>
      </c>
      <c r="F42" s="90" t="s">
        <v>1130</v>
      </c>
    </row>
    <row r="43" spans="1:6" ht="16.5" x14ac:dyDescent="0.3">
      <c r="A43" t="s">
        <v>547</v>
      </c>
      <c r="B43" s="90">
        <v>8.0399999618530273</v>
      </c>
      <c r="C43" s="90" t="s">
        <v>625</v>
      </c>
      <c r="D43" s="90" t="s">
        <v>876</v>
      </c>
      <c r="E43" s="90" t="s">
        <v>1020</v>
      </c>
      <c r="F43" s="90" t="s">
        <v>1161</v>
      </c>
    </row>
    <row r="44" spans="1:6" ht="16.5" x14ac:dyDescent="0.3">
      <c r="A44" t="s">
        <v>548</v>
      </c>
      <c r="B44" s="90">
        <v>57.200000762939453</v>
      </c>
      <c r="C44" s="90" t="s">
        <v>626</v>
      </c>
      <c r="D44" s="90" t="s">
        <v>877</v>
      </c>
      <c r="E44" s="90" t="s">
        <v>1021</v>
      </c>
      <c r="F44" s="90" t="s">
        <v>1162</v>
      </c>
    </row>
    <row r="45" spans="1:6" ht="16.5" x14ac:dyDescent="0.3">
      <c r="A45" t="s">
        <v>549</v>
      </c>
      <c r="B45" s="90">
        <v>108.8000030517578</v>
      </c>
      <c r="C45" s="90" t="s">
        <v>627</v>
      </c>
      <c r="D45" s="90" t="s">
        <v>878</v>
      </c>
      <c r="E45" s="90" t="s">
        <v>1022</v>
      </c>
      <c r="F45" s="90" t="s">
        <v>1163</v>
      </c>
    </row>
    <row r="46" spans="1:6" ht="16.5" x14ac:dyDescent="0.3">
      <c r="A46" t="s">
        <v>550</v>
      </c>
      <c r="B46" s="90">
        <v>22.35000038146973</v>
      </c>
      <c r="C46" s="90" t="s">
        <v>628</v>
      </c>
      <c r="D46" s="90" t="s">
        <v>879</v>
      </c>
      <c r="E46" s="90" t="s">
        <v>1023</v>
      </c>
      <c r="F46" s="90" t="s">
        <v>1175</v>
      </c>
    </row>
    <row r="47" spans="1:6" ht="16.5" x14ac:dyDescent="0.3">
      <c r="A47" t="s">
        <v>551</v>
      </c>
      <c r="B47" s="90">
        <v>14.88000011444092</v>
      </c>
      <c r="C47" s="90" t="s">
        <v>629</v>
      </c>
      <c r="D47" s="90" t="s">
        <v>880</v>
      </c>
      <c r="E47" s="90" t="s">
        <v>1024</v>
      </c>
      <c r="F47" s="90" t="s">
        <v>1131</v>
      </c>
    </row>
    <row r="48" spans="1:6" ht="16.5" x14ac:dyDescent="0.3">
      <c r="A48" t="s">
        <v>552</v>
      </c>
      <c r="B48" s="90">
        <v>370.82000732421881</v>
      </c>
      <c r="C48" s="90" t="s">
        <v>630</v>
      </c>
      <c r="D48" s="90" t="s">
        <v>881</v>
      </c>
      <c r="E48" s="90" t="s">
        <v>1025</v>
      </c>
      <c r="F48" s="90" t="s">
        <v>1132</v>
      </c>
    </row>
    <row r="49" spans="1:6" ht="16.5" x14ac:dyDescent="0.3">
      <c r="A49" t="s">
        <v>553</v>
      </c>
      <c r="B49" s="90">
        <v>107.1600036621094</v>
      </c>
      <c r="C49" s="90" t="s">
        <v>631</v>
      </c>
      <c r="D49" s="90" t="s">
        <v>882</v>
      </c>
      <c r="E49" s="90" t="s">
        <v>1026</v>
      </c>
      <c r="F49" s="90" t="s">
        <v>1176</v>
      </c>
    </row>
    <row r="50" spans="1:6" ht="16.5" x14ac:dyDescent="0.3">
      <c r="A50" t="s">
        <v>554</v>
      </c>
      <c r="B50" s="90">
        <v>45.240001678466797</v>
      </c>
      <c r="C50" s="90" t="s">
        <v>632</v>
      </c>
      <c r="D50" s="90" t="s">
        <v>883</v>
      </c>
      <c r="E50" s="90" t="s">
        <v>1027</v>
      </c>
      <c r="F50" s="90" t="s">
        <v>1164</v>
      </c>
    </row>
    <row r="51" spans="1:6" ht="16.5" x14ac:dyDescent="0.3">
      <c r="A51" t="s">
        <v>555</v>
      </c>
      <c r="B51" s="90">
        <v>16.54000091552734</v>
      </c>
      <c r="C51" s="90" t="s">
        <v>633</v>
      </c>
      <c r="D51" s="90" t="s">
        <v>884</v>
      </c>
      <c r="E51" s="90" t="s">
        <v>1028</v>
      </c>
      <c r="F51" s="90" t="s">
        <v>1133</v>
      </c>
    </row>
    <row r="52" spans="1:6" ht="16.5" x14ac:dyDescent="0.3">
      <c r="A52" t="s">
        <v>556</v>
      </c>
      <c r="B52" s="90">
        <v>126.8399963378906</v>
      </c>
      <c r="C52" s="90" t="s">
        <v>634</v>
      </c>
      <c r="D52" s="90" t="s">
        <v>885</v>
      </c>
      <c r="E52" s="90" t="s">
        <v>1029</v>
      </c>
      <c r="F52" s="90" t="s">
        <v>1134</v>
      </c>
    </row>
    <row r="53" spans="1:6" ht="16.5" x14ac:dyDescent="0.3">
      <c r="A53" t="s">
        <v>557</v>
      </c>
      <c r="B53" s="90">
        <v>138.3800048828125</v>
      </c>
      <c r="C53" s="90" t="s">
        <v>635</v>
      </c>
      <c r="D53" s="90" t="s">
        <v>886</v>
      </c>
      <c r="E53" s="90" t="s">
        <v>1030</v>
      </c>
      <c r="F53" s="90" t="s">
        <v>1165</v>
      </c>
    </row>
    <row r="54" spans="1:6" ht="16.5" x14ac:dyDescent="0.3">
      <c r="A54" t="s">
        <v>558</v>
      </c>
      <c r="B54" s="90">
        <v>12.36999988555908</v>
      </c>
      <c r="C54" s="90" t="s">
        <v>636</v>
      </c>
      <c r="D54" s="90" t="s">
        <v>887</v>
      </c>
      <c r="E54" s="90" t="s">
        <v>1031</v>
      </c>
      <c r="F54" s="90" t="s">
        <v>1135</v>
      </c>
    </row>
    <row r="55" spans="1:6" ht="16.5" x14ac:dyDescent="0.3">
      <c r="A55" t="s">
        <v>559</v>
      </c>
      <c r="B55" s="90">
        <v>7.6500000953674316</v>
      </c>
      <c r="C55" s="90" t="s">
        <v>637</v>
      </c>
      <c r="D55" s="90" t="s">
        <v>888</v>
      </c>
      <c r="E55" s="90" t="s">
        <v>1032</v>
      </c>
      <c r="F55" s="90" t="s">
        <v>1136</v>
      </c>
    </row>
    <row r="56" spans="1:6" ht="16.5" x14ac:dyDescent="0.3">
      <c r="A56" t="s">
        <v>560</v>
      </c>
      <c r="B56" s="90">
        <v>33.799999237060547</v>
      </c>
      <c r="C56" s="90" t="s">
        <v>638</v>
      </c>
      <c r="D56" s="90" t="s">
        <v>889</v>
      </c>
      <c r="E56" s="90" t="s">
        <v>1033</v>
      </c>
      <c r="F56" s="90" t="s">
        <v>1137</v>
      </c>
    </row>
  </sheetData>
  <sortState xmlns:xlrd2="http://schemas.microsoft.com/office/spreadsheetml/2017/richdata2" ref="A2:F56">
    <sortCondition ref="A2:A56"/>
  </sortState>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279CF-2D86-4F14-B6E2-0A64E9EB3B87}">
  <dimension ref="A1:F150"/>
  <sheetViews>
    <sheetView workbookViewId="0">
      <selection activeCell="J4" sqref="J4"/>
    </sheetView>
  </sheetViews>
  <sheetFormatPr defaultRowHeight="15" x14ac:dyDescent="0.25"/>
  <cols>
    <col min="2" max="6" width="10.7109375" bestFit="1" customWidth="1"/>
  </cols>
  <sheetData>
    <row r="1" spans="1:6" x14ac:dyDescent="0.25">
      <c r="A1" t="s">
        <v>475</v>
      </c>
      <c r="B1" s="79">
        <v>45843</v>
      </c>
      <c r="C1" s="79">
        <v>45850</v>
      </c>
      <c r="D1" s="79">
        <v>45857</v>
      </c>
      <c r="E1" s="79">
        <v>45864</v>
      </c>
      <c r="F1" s="79">
        <v>45871</v>
      </c>
    </row>
    <row r="2" spans="1:6" ht="16.5" x14ac:dyDescent="0.3">
      <c r="A2" t="s">
        <v>566</v>
      </c>
      <c r="B2" s="90">
        <v>100.13999938964839</v>
      </c>
      <c r="C2" s="90" t="s">
        <v>639</v>
      </c>
      <c r="D2" s="90" t="s">
        <v>890</v>
      </c>
      <c r="E2" s="90" t="s">
        <v>1034</v>
      </c>
      <c r="F2" s="90" t="s">
        <v>1177</v>
      </c>
    </row>
    <row r="3" spans="1:6" ht="16.5" x14ac:dyDescent="0.3">
      <c r="A3" t="s">
        <v>567</v>
      </c>
      <c r="B3" s="90">
        <v>7.5399999618530273</v>
      </c>
      <c r="C3" s="90" t="s">
        <v>584</v>
      </c>
      <c r="D3" s="90" t="s">
        <v>891</v>
      </c>
      <c r="E3" s="90" t="s">
        <v>1035</v>
      </c>
      <c r="F3" s="90" t="s">
        <v>891</v>
      </c>
    </row>
    <row r="4" spans="1:6" ht="16.5" x14ac:dyDescent="0.3">
      <c r="A4" t="s">
        <v>572</v>
      </c>
      <c r="B4" s="90">
        <v>8.9899997711181641</v>
      </c>
      <c r="C4" s="90" t="s">
        <v>640</v>
      </c>
      <c r="D4" s="90" t="s">
        <v>892</v>
      </c>
      <c r="E4" s="90" t="s">
        <v>1036</v>
      </c>
      <c r="F4" s="90" t="s">
        <v>1178</v>
      </c>
    </row>
    <row r="5" spans="1:6" ht="16.5" x14ac:dyDescent="0.3">
      <c r="A5" t="s">
        <v>578</v>
      </c>
      <c r="B5" s="90">
        <v>19.510000228881839</v>
      </c>
      <c r="C5" s="90" t="s">
        <v>641</v>
      </c>
      <c r="D5" s="90" t="s">
        <v>893</v>
      </c>
      <c r="E5" s="90" t="s">
        <v>1037</v>
      </c>
      <c r="F5" s="90" t="s">
        <v>1179</v>
      </c>
    </row>
    <row r="6" spans="1:6" ht="16.5" x14ac:dyDescent="0.3">
      <c r="A6" t="s">
        <v>563</v>
      </c>
      <c r="B6" s="90">
        <v>157.58000183105469</v>
      </c>
      <c r="C6" s="90" t="s">
        <v>642</v>
      </c>
      <c r="D6" s="90" t="s">
        <v>894</v>
      </c>
      <c r="E6" s="90" t="s">
        <v>1038</v>
      </c>
      <c r="F6" s="90" t="s">
        <v>1180</v>
      </c>
    </row>
    <row r="7" spans="1:6" ht="16.5" x14ac:dyDescent="0.3">
      <c r="A7" t="s">
        <v>574</v>
      </c>
      <c r="B7" s="90">
        <v>124.1999969482422</v>
      </c>
      <c r="C7" s="90" t="s">
        <v>643</v>
      </c>
      <c r="D7" s="90" t="s">
        <v>895</v>
      </c>
      <c r="E7" s="90" t="s">
        <v>1039</v>
      </c>
      <c r="F7" s="90" t="s">
        <v>1181</v>
      </c>
    </row>
    <row r="8" spans="1:6" ht="16.5" x14ac:dyDescent="0.3">
      <c r="A8" t="s">
        <v>571</v>
      </c>
      <c r="B8" s="90">
        <v>68.739997863769531</v>
      </c>
      <c r="C8" s="90" t="s">
        <v>644</v>
      </c>
      <c r="D8" s="90" t="s">
        <v>896</v>
      </c>
      <c r="E8" s="90" t="s">
        <v>1040</v>
      </c>
      <c r="F8" s="90" t="s">
        <v>1182</v>
      </c>
    </row>
    <row r="9" spans="1:6" ht="16.5" x14ac:dyDescent="0.3">
      <c r="A9" t="s">
        <v>564</v>
      </c>
      <c r="B9" s="90">
        <v>104.9499969482422</v>
      </c>
      <c r="C9" s="90" t="s">
        <v>645</v>
      </c>
      <c r="D9" s="90" t="s">
        <v>897</v>
      </c>
      <c r="E9" s="90" t="s">
        <v>1041</v>
      </c>
      <c r="F9" s="90" t="s">
        <v>1183</v>
      </c>
    </row>
    <row r="10" spans="1:6" ht="16.5" x14ac:dyDescent="0.3">
      <c r="A10" t="s">
        <v>580</v>
      </c>
      <c r="B10" s="90">
        <v>89.30999755859375</v>
      </c>
      <c r="C10" s="90" t="s">
        <v>646</v>
      </c>
      <c r="D10" s="90" t="s">
        <v>898</v>
      </c>
      <c r="E10" s="90" t="s">
        <v>1042</v>
      </c>
      <c r="F10" s="90" t="s">
        <v>1184</v>
      </c>
    </row>
    <row r="11" spans="1:6" ht="16.5" x14ac:dyDescent="0.3">
      <c r="A11" t="s">
        <v>570</v>
      </c>
      <c r="B11" s="90">
        <v>145.19999694824219</v>
      </c>
      <c r="C11" s="90" t="s">
        <v>647</v>
      </c>
      <c r="D11" s="90" t="s">
        <v>899</v>
      </c>
      <c r="E11" s="90" t="s">
        <v>1043</v>
      </c>
      <c r="F11" s="90" t="s">
        <v>1185</v>
      </c>
    </row>
    <row r="12" spans="1:6" ht="16.5" x14ac:dyDescent="0.3">
      <c r="A12" t="s">
        <v>579</v>
      </c>
      <c r="B12" s="90">
        <v>88.279998779296875</v>
      </c>
      <c r="C12" s="90" t="s">
        <v>648</v>
      </c>
      <c r="D12" s="90" t="s">
        <v>900</v>
      </c>
      <c r="E12" s="90" t="s">
        <v>1044</v>
      </c>
      <c r="F12" s="90" t="s">
        <v>1186</v>
      </c>
    </row>
    <row r="13" spans="1:6" ht="16.5" x14ac:dyDescent="0.3">
      <c r="A13" t="s">
        <v>561</v>
      </c>
      <c r="B13" s="90">
        <v>9.5</v>
      </c>
      <c r="C13" s="90" t="s">
        <v>649</v>
      </c>
      <c r="D13" s="90" t="s">
        <v>901</v>
      </c>
      <c r="E13" s="90" t="s">
        <v>1045</v>
      </c>
      <c r="F13" s="90" t="s">
        <v>1187</v>
      </c>
    </row>
    <row r="14" spans="1:6" ht="16.5" x14ac:dyDescent="0.3">
      <c r="A14" t="s">
        <v>576</v>
      </c>
      <c r="B14" s="90">
        <v>77.19000244140625</v>
      </c>
      <c r="C14" s="90" t="s">
        <v>650</v>
      </c>
      <c r="D14" s="90" t="s">
        <v>902</v>
      </c>
      <c r="E14" s="90" t="s">
        <v>1046</v>
      </c>
      <c r="F14" s="90" t="s">
        <v>1188</v>
      </c>
    </row>
    <row r="15" spans="1:6" ht="16.5" x14ac:dyDescent="0.3">
      <c r="A15" t="s">
        <v>575</v>
      </c>
      <c r="B15" s="90">
        <v>85.448936462402344</v>
      </c>
      <c r="C15" s="90" t="s">
        <v>651</v>
      </c>
      <c r="D15" s="90" t="s">
        <v>903</v>
      </c>
      <c r="E15" s="90" t="s">
        <v>1047</v>
      </c>
      <c r="F15" s="90" t="s">
        <v>1189</v>
      </c>
    </row>
    <row r="16" spans="1:6" ht="16.5" x14ac:dyDescent="0.3">
      <c r="A16" t="s">
        <v>577</v>
      </c>
      <c r="B16" s="90">
        <v>91.610000610351563</v>
      </c>
      <c r="C16" s="90" t="s">
        <v>652</v>
      </c>
      <c r="D16" s="90" t="s">
        <v>904</v>
      </c>
      <c r="E16" s="90" t="s">
        <v>1048</v>
      </c>
      <c r="F16" s="90" t="s">
        <v>1190</v>
      </c>
    </row>
    <row r="17" spans="1:6" ht="16.5" x14ac:dyDescent="0.3">
      <c r="A17" t="s">
        <v>565</v>
      </c>
      <c r="B17" s="90">
        <v>7.7600002288818359</v>
      </c>
      <c r="C17" s="90" t="s">
        <v>653</v>
      </c>
      <c r="D17" s="90" t="s">
        <v>905</v>
      </c>
      <c r="E17" s="90" t="s">
        <v>1049</v>
      </c>
      <c r="F17" s="90" t="s">
        <v>1191</v>
      </c>
    </row>
    <row r="18" spans="1:6" ht="16.5" x14ac:dyDescent="0.3">
      <c r="A18" t="s">
        <v>573</v>
      </c>
      <c r="B18" s="90">
        <v>9.75</v>
      </c>
      <c r="C18" s="90" t="s">
        <v>582</v>
      </c>
      <c r="D18" s="90" t="s">
        <v>906</v>
      </c>
      <c r="E18" s="90" t="s">
        <v>1050</v>
      </c>
      <c r="F18" s="90" t="s">
        <v>1192</v>
      </c>
    </row>
    <row r="19" spans="1:6" ht="16.5" x14ac:dyDescent="0.3">
      <c r="A19" t="s">
        <v>568</v>
      </c>
      <c r="B19" s="90">
        <v>105.2399978637695</v>
      </c>
      <c r="C19" s="90" t="s">
        <v>654</v>
      </c>
      <c r="D19" s="90" t="s">
        <v>907</v>
      </c>
      <c r="E19" s="90" t="s">
        <v>1051</v>
      </c>
      <c r="F19" s="90" t="s">
        <v>1193</v>
      </c>
    </row>
    <row r="20" spans="1:6" ht="16.5" x14ac:dyDescent="0.3">
      <c r="A20" t="s">
        <v>569</v>
      </c>
      <c r="B20" s="90">
        <v>100.51999664306641</v>
      </c>
      <c r="C20" s="90" t="s">
        <v>655</v>
      </c>
      <c r="D20" s="90" t="s">
        <v>908</v>
      </c>
      <c r="E20" s="90" t="s">
        <v>1052</v>
      </c>
      <c r="F20" s="90" t="s">
        <v>1194</v>
      </c>
    </row>
    <row r="21" spans="1:6" ht="16.5" x14ac:dyDescent="0.3">
      <c r="A21" t="s">
        <v>562</v>
      </c>
      <c r="B21" s="90">
        <v>105.44000244140619</v>
      </c>
      <c r="C21" s="90" t="s">
        <v>656</v>
      </c>
      <c r="D21" s="90" t="s">
        <v>909</v>
      </c>
      <c r="E21" s="90" t="s">
        <v>1053</v>
      </c>
      <c r="F21" s="90" t="s">
        <v>1195</v>
      </c>
    </row>
    <row r="22" spans="1:6" ht="16.5" x14ac:dyDescent="0.3">
      <c r="B22" s="90"/>
      <c r="C22" s="90"/>
    </row>
    <row r="23" spans="1:6" ht="16.5" x14ac:dyDescent="0.3">
      <c r="B23" s="90"/>
      <c r="C23" s="90"/>
    </row>
    <row r="24" spans="1:6" ht="16.5" x14ac:dyDescent="0.3">
      <c r="B24" s="90"/>
      <c r="C24" s="90"/>
    </row>
    <row r="25" spans="1:6" ht="16.5" x14ac:dyDescent="0.3">
      <c r="B25" s="90"/>
      <c r="C25" s="90"/>
    </row>
    <row r="26" spans="1:6" ht="16.5" x14ac:dyDescent="0.3">
      <c r="B26" s="90"/>
      <c r="C26" s="90"/>
    </row>
    <row r="27" spans="1:6" ht="16.5" x14ac:dyDescent="0.3">
      <c r="B27" s="90"/>
      <c r="C27" s="90"/>
    </row>
    <row r="28" spans="1:6" ht="16.5" x14ac:dyDescent="0.3">
      <c r="B28" s="90"/>
      <c r="C28" s="90"/>
    </row>
    <row r="29" spans="1:6" ht="16.5" x14ac:dyDescent="0.3">
      <c r="B29" s="90"/>
      <c r="C29" s="90"/>
    </row>
    <row r="30" spans="1:6" ht="16.5" x14ac:dyDescent="0.3">
      <c r="B30" s="90"/>
      <c r="C30" s="90"/>
    </row>
    <row r="31" spans="1:6" ht="16.5" x14ac:dyDescent="0.3">
      <c r="B31" s="90"/>
      <c r="C31" s="90"/>
    </row>
    <row r="32" spans="1:6" ht="16.5" x14ac:dyDescent="0.3">
      <c r="B32" s="90"/>
      <c r="C32" s="90"/>
    </row>
    <row r="33" spans="2:3" ht="16.5" x14ac:dyDescent="0.3">
      <c r="B33" s="90"/>
      <c r="C33" s="90"/>
    </row>
    <row r="34" spans="2:3" ht="16.5" x14ac:dyDescent="0.3">
      <c r="B34" s="90"/>
      <c r="C34" s="90"/>
    </row>
    <row r="35" spans="2:3" ht="16.5" x14ac:dyDescent="0.3">
      <c r="B35" s="90"/>
      <c r="C35" s="90"/>
    </row>
    <row r="36" spans="2:3" ht="16.5" x14ac:dyDescent="0.3">
      <c r="B36" s="90"/>
      <c r="C36" s="90"/>
    </row>
    <row r="37" spans="2:3" ht="16.5" x14ac:dyDescent="0.3">
      <c r="B37" s="90"/>
      <c r="C37" s="90"/>
    </row>
    <row r="38" spans="2:3" ht="16.5" x14ac:dyDescent="0.3">
      <c r="B38" s="90"/>
      <c r="C38" s="90"/>
    </row>
    <row r="39" spans="2:3" ht="16.5" x14ac:dyDescent="0.3">
      <c r="B39" s="90"/>
      <c r="C39" s="90"/>
    </row>
    <row r="40" spans="2:3" ht="16.5" x14ac:dyDescent="0.3">
      <c r="B40" s="90"/>
      <c r="C40" s="90"/>
    </row>
    <row r="41" spans="2:3" ht="16.5" x14ac:dyDescent="0.3">
      <c r="B41" s="90"/>
      <c r="C41" s="90"/>
    </row>
    <row r="42" spans="2:3" ht="16.5" x14ac:dyDescent="0.3">
      <c r="B42" s="90"/>
      <c r="C42" s="90"/>
    </row>
    <row r="43" spans="2:3" ht="16.5" x14ac:dyDescent="0.3">
      <c r="B43" s="90"/>
      <c r="C43" s="90"/>
    </row>
    <row r="44" spans="2:3" ht="16.5" x14ac:dyDescent="0.3">
      <c r="B44" s="90"/>
      <c r="C44" s="90"/>
    </row>
    <row r="45" spans="2:3" ht="16.5" x14ac:dyDescent="0.3">
      <c r="B45" s="90"/>
      <c r="C45" s="90"/>
    </row>
    <row r="46" spans="2:3" ht="16.5" x14ac:dyDescent="0.3">
      <c r="B46" s="90"/>
      <c r="C46" s="90"/>
    </row>
    <row r="47" spans="2:3" ht="16.5" x14ac:dyDescent="0.3">
      <c r="B47" s="90"/>
      <c r="C47" s="90"/>
    </row>
    <row r="48" spans="2:3" ht="16.5" x14ac:dyDescent="0.3">
      <c r="B48" s="90"/>
      <c r="C48" s="90"/>
    </row>
    <row r="49" spans="2:3" ht="16.5" x14ac:dyDescent="0.3">
      <c r="B49" s="90"/>
      <c r="C49" s="90"/>
    </row>
    <row r="50" spans="2:3" ht="16.5" x14ac:dyDescent="0.3">
      <c r="B50" s="90"/>
      <c r="C50" s="90"/>
    </row>
    <row r="51" spans="2:3" ht="16.5" x14ac:dyDescent="0.3">
      <c r="B51" s="90"/>
      <c r="C51" s="90"/>
    </row>
    <row r="52" spans="2:3" ht="16.5" x14ac:dyDescent="0.3">
      <c r="B52" s="90"/>
      <c r="C52" s="90"/>
    </row>
    <row r="53" spans="2:3" ht="16.5" x14ac:dyDescent="0.3">
      <c r="B53" s="90"/>
      <c r="C53" s="90"/>
    </row>
    <row r="54" spans="2:3" ht="16.5" x14ac:dyDescent="0.3">
      <c r="B54" s="90"/>
      <c r="C54" s="90"/>
    </row>
    <row r="55" spans="2:3" ht="16.5" x14ac:dyDescent="0.3">
      <c r="B55" s="90"/>
      <c r="C55" s="90"/>
    </row>
    <row r="56" spans="2:3" ht="16.5" x14ac:dyDescent="0.3">
      <c r="B56" s="90"/>
      <c r="C56" s="90"/>
    </row>
    <row r="57" spans="2:3" ht="16.5" x14ac:dyDescent="0.3">
      <c r="B57" s="90"/>
      <c r="C57" s="90"/>
    </row>
    <row r="58" spans="2:3" ht="16.5" x14ac:dyDescent="0.3">
      <c r="B58" s="90"/>
      <c r="C58" s="90"/>
    </row>
    <row r="59" spans="2:3" ht="16.5" x14ac:dyDescent="0.3">
      <c r="B59" s="90"/>
      <c r="C59" s="90"/>
    </row>
    <row r="60" spans="2:3" ht="16.5" x14ac:dyDescent="0.3">
      <c r="B60" s="90"/>
      <c r="C60" s="90"/>
    </row>
    <row r="61" spans="2:3" ht="16.5" x14ac:dyDescent="0.3">
      <c r="B61" s="90"/>
      <c r="C61" s="90"/>
    </row>
    <row r="62" spans="2:3" ht="16.5" x14ac:dyDescent="0.3">
      <c r="B62" s="90"/>
      <c r="C62" s="90"/>
    </row>
    <row r="63" spans="2:3" ht="16.5" x14ac:dyDescent="0.3">
      <c r="B63" s="90"/>
      <c r="C63" s="90"/>
    </row>
    <row r="64" spans="2:3" ht="16.5" x14ac:dyDescent="0.3">
      <c r="B64" s="90"/>
      <c r="C64" s="90"/>
    </row>
    <row r="65" spans="2:3" ht="16.5" x14ac:dyDescent="0.3">
      <c r="B65" s="90"/>
      <c r="C65" s="90"/>
    </row>
    <row r="66" spans="2:3" ht="16.5" x14ac:dyDescent="0.3">
      <c r="B66" s="90"/>
      <c r="C66" s="90"/>
    </row>
    <row r="67" spans="2:3" ht="16.5" x14ac:dyDescent="0.3">
      <c r="B67" s="90"/>
      <c r="C67" s="90"/>
    </row>
    <row r="68" spans="2:3" ht="16.5" x14ac:dyDescent="0.3">
      <c r="B68" s="90"/>
      <c r="C68" s="90"/>
    </row>
    <row r="69" spans="2:3" ht="16.5" x14ac:dyDescent="0.3">
      <c r="B69" s="90"/>
      <c r="C69" s="90"/>
    </row>
    <row r="70" spans="2:3" ht="16.5" x14ac:dyDescent="0.3">
      <c r="B70" s="90"/>
      <c r="C70" s="90"/>
    </row>
    <row r="71" spans="2:3" ht="16.5" x14ac:dyDescent="0.3">
      <c r="B71" s="90"/>
      <c r="C71" s="90"/>
    </row>
    <row r="72" spans="2:3" ht="16.5" x14ac:dyDescent="0.3">
      <c r="B72" s="90"/>
      <c r="C72" s="90"/>
    </row>
    <row r="73" spans="2:3" ht="16.5" x14ac:dyDescent="0.3">
      <c r="B73" s="90"/>
      <c r="C73" s="90"/>
    </row>
    <row r="74" spans="2:3" ht="16.5" x14ac:dyDescent="0.3">
      <c r="B74" s="90"/>
      <c r="C74" s="90"/>
    </row>
    <row r="75" spans="2:3" ht="16.5" x14ac:dyDescent="0.3">
      <c r="B75" s="90"/>
      <c r="C75" s="90"/>
    </row>
    <row r="76" spans="2:3" ht="16.5" x14ac:dyDescent="0.3">
      <c r="B76" s="90"/>
      <c r="C76" s="90"/>
    </row>
    <row r="77" spans="2:3" ht="16.5" x14ac:dyDescent="0.3">
      <c r="B77" s="90"/>
      <c r="C77" s="90"/>
    </row>
    <row r="78" spans="2:3" ht="16.5" x14ac:dyDescent="0.3">
      <c r="B78" s="90"/>
      <c r="C78" s="90"/>
    </row>
    <row r="79" spans="2:3" ht="16.5" x14ac:dyDescent="0.3">
      <c r="B79" s="90"/>
      <c r="C79" s="90"/>
    </row>
    <row r="80" spans="2:3" ht="16.5" x14ac:dyDescent="0.3">
      <c r="B80" s="90"/>
      <c r="C80" s="90"/>
    </row>
    <row r="81" spans="2:3" ht="16.5" x14ac:dyDescent="0.3">
      <c r="B81" s="90"/>
      <c r="C81" s="90"/>
    </row>
    <row r="82" spans="2:3" ht="16.5" x14ac:dyDescent="0.3">
      <c r="B82" s="90"/>
      <c r="C82" s="90"/>
    </row>
    <row r="83" spans="2:3" ht="16.5" x14ac:dyDescent="0.3">
      <c r="B83" s="90"/>
      <c r="C83" s="90"/>
    </row>
    <row r="84" spans="2:3" ht="16.5" x14ac:dyDescent="0.3">
      <c r="B84" s="90"/>
      <c r="C84" s="90"/>
    </row>
    <row r="85" spans="2:3" ht="16.5" x14ac:dyDescent="0.3">
      <c r="B85" s="90"/>
      <c r="C85" s="90"/>
    </row>
    <row r="86" spans="2:3" ht="16.5" x14ac:dyDescent="0.3">
      <c r="B86" s="90"/>
      <c r="C86" s="90"/>
    </row>
    <row r="87" spans="2:3" ht="16.5" x14ac:dyDescent="0.3">
      <c r="B87" s="90"/>
      <c r="C87" s="90"/>
    </row>
    <row r="88" spans="2:3" ht="16.5" x14ac:dyDescent="0.3">
      <c r="B88" s="90"/>
      <c r="C88" s="90"/>
    </row>
    <row r="89" spans="2:3" ht="16.5" x14ac:dyDescent="0.3">
      <c r="B89" s="90"/>
      <c r="C89" s="90"/>
    </row>
    <row r="90" spans="2:3" ht="16.5" x14ac:dyDescent="0.3">
      <c r="B90" s="90"/>
      <c r="C90" s="90"/>
    </row>
    <row r="91" spans="2:3" ht="16.5" x14ac:dyDescent="0.3">
      <c r="B91" s="90"/>
      <c r="C91" s="90"/>
    </row>
    <row r="92" spans="2:3" ht="16.5" x14ac:dyDescent="0.3">
      <c r="B92" s="90"/>
      <c r="C92" s="90"/>
    </row>
    <row r="93" spans="2:3" ht="16.5" x14ac:dyDescent="0.3">
      <c r="B93" s="90"/>
      <c r="C93" s="90"/>
    </row>
    <row r="94" spans="2:3" ht="16.5" x14ac:dyDescent="0.3">
      <c r="B94" s="90"/>
      <c r="C94" s="90"/>
    </row>
    <row r="95" spans="2:3" ht="16.5" x14ac:dyDescent="0.3">
      <c r="B95" s="90"/>
      <c r="C95" s="90"/>
    </row>
    <row r="96" spans="2:3" ht="16.5" x14ac:dyDescent="0.3">
      <c r="B96" s="90"/>
      <c r="C96" s="90"/>
    </row>
    <row r="97" spans="2:3" ht="16.5" x14ac:dyDescent="0.3">
      <c r="B97" s="90"/>
      <c r="C97" s="90"/>
    </row>
    <row r="98" spans="2:3" ht="16.5" x14ac:dyDescent="0.3">
      <c r="B98" s="90"/>
      <c r="C98" s="90"/>
    </row>
    <row r="99" spans="2:3" ht="16.5" x14ac:dyDescent="0.3">
      <c r="B99" s="90"/>
      <c r="C99" s="90"/>
    </row>
    <row r="100" spans="2:3" ht="16.5" x14ac:dyDescent="0.3">
      <c r="B100" s="90"/>
      <c r="C100" s="90"/>
    </row>
    <row r="101" spans="2:3" ht="16.5" x14ac:dyDescent="0.3">
      <c r="B101" s="90"/>
      <c r="C101" s="90"/>
    </row>
    <row r="102" spans="2:3" ht="16.5" x14ac:dyDescent="0.3">
      <c r="B102" s="90"/>
      <c r="C102" s="90"/>
    </row>
    <row r="103" spans="2:3" ht="16.5" x14ac:dyDescent="0.3">
      <c r="B103" s="90"/>
      <c r="C103" s="90"/>
    </row>
    <row r="104" spans="2:3" ht="16.5" x14ac:dyDescent="0.3">
      <c r="B104" s="90"/>
      <c r="C104" s="90"/>
    </row>
    <row r="105" spans="2:3" ht="16.5" x14ac:dyDescent="0.3">
      <c r="B105" s="90"/>
      <c r="C105" s="90"/>
    </row>
    <row r="106" spans="2:3" ht="16.5" x14ac:dyDescent="0.3">
      <c r="B106" s="90"/>
      <c r="C106" s="90"/>
    </row>
    <row r="107" spans="2:3" ht="16.5" x14ac:dyDescent="0.3">
      <c r="B107" s="90"/>
      <c r="C107" s="90"/>
    </row>
    <row r="108" spans="2:3" ht="16.5" x14ac:dyDescent="0.3">
      <c r="B108" s="90"/>
      <c r="C108" s="90"/>
    </row>
    <row r="109" spans="2:3" ht="16.5" x14ac:dyDescent="0.3">
      <c r="B109" s="90"/>
      <c r="C109" s="90"/>
    </row>
    <row r="110" spans="2:3" ht="16.5" x14ac:dyDescent="0.3">
      <c r="B110" s="90"/>
      <c r="C110" s="90"/>
    </row>
    <row r="111" spans="2:3" ht="16.5" x14ac:dyDescent="0.3">
      <c r="B111" s="90"/>
      <c r="C111" s="90"/>
    </row>
    <row r="112" spans="2:3" ht="16.5" x14ac:dyDescent="0.3">
      <c r="B112" s="90"/>
      <c r="C112" s="90"/>
    </row>
    <row r="113" spans="2:3" ht="16.5" x14ac:dyDescent="0.3">
      <c r="B113" s="90"/>
      <c r="C113" s="90"/>
    </row>
    <row r="114" spans="2:3" ht="16.5" x14ac:dyDescent="0.3">
      <c r="B114" s="90"/>
      <c r="C114" s="90"/>
    </row>
    <row r="115" spans="2:3" ht="16.5" x14ac:dyDescent="0.3">
      <c r="B115" s="90"/>
      <c r="C115" s="90"/>
    </row>
    <row r="116" spans="2:3" ht="16.5" x14ac:dyDescent="0.3">
      <c r="B116" s="90"/>
      <c r="C116" s="90"/>
    </row>
    <row r="117" spans="2:3" ht="16.5" x14ac:dyDescent="0.3">
      <c r="B117" s="90"/>
      <c r="C117" s="90"/>
    </row>
    <row r="118" spans="2:3" ht="16.5" x14ac:dyDescent="0.3">
      <c r="B118" s="90"/>
      <c r="C118" s="90"/>
    </row>
    <row r="119" spans="2:3" ht="16.5" x14ac:dyDescent="0.3">
      <c r="B119" s="90"/>
      <c r="C119" s="90"/>
    </row>
    <row r="120" spans="2:3" ht="16.5" x14ac:dyDescent="0.3">
      <c r="B120" s="90"/>
      <c r="C120" s="90"/>
    </row>
    <row r="121" spans="2:3" ht="16.5" x14ac:dyDescent="0.3">
      <c r="B121" s="90"/>
      <c r="C121" s="90"/>
    </row>
    <row r="122" spans="2:3" ht="16.5" x14ac:dyDescent="0.3">
      <c r="B122" s="90"/>
      <c r="C122" s="90"/>
    </row>
    <row r="123" spans="2:3" ht="16.5" x14ac:dyDescent="0.3">
      <c r="B123" s="90"/>
      <c r="C123" s="90"/>
    </row>
    <row r="124" spans="2:3" ht="16.5" x14ac:dyDescent="0.3">
      <c r="B124" s="90"/>
      <c r="C124" s="90"/>
    </row>
    <row r="125" spans="2:3" ht="16.5" x14ac:dyDescent="0.3">
      <c r="B125" s="90"/>
      <c r="C125" s="90"/>
    </row>
    <row r="126" spans="2:3" ht="16.5" x14ac:dyDescent="0.3">
      <c r="B126" s="90"/>
      <c r="C126" s="90"/>
    </row>
    <row r="127" spans="2:3" ht="16.5" x14ac:dyDescent="0.3">
      <c r="B127" s="90"/>
      <c r="C127" s="90"/>
    </row>
    <row r="128" spans="2:3" ht="16.5" x14ac:dyDescent="0.3">
      <c r="B128" s="90"/>
      <c r="C128" s="90"/>
    </row>
    <row r="129" spans="2:3" ht="16.5" x14ac:dyDescent="0.3">
      <c r="B129" s="90"/>
      <c r="C129" s="90"/>
    </row>
    <row r="130" spans="2:3" ht="16.5" x14ac:dyDescent="0.3">
      <c r="B130" s="90"/>
      <c r="C130" s="90"/>
    </row>
    <row r="131" spans="2:3" ht="16.5" x14ac:dyDescent="0.3">
      <c r="B131" s="90"/>
      <c r="C131" s="90"/>
    </row>
    <row r="132" spans="2:3" ht="16.5" x14ac:dyDescent="0.3">
      <c r="B132" s="90"/>
      <c r="C132" s="90"/>
    </row>
    <row r="133" spans="2:3" ht="16.5" x14ac:dyDescent="0.3">
      <c r="B133" s="90"/>
      <c r="C133" s="90"/>
    </row>
    <row r="134" spans="2:3" ht="16.5" x14ac:dyDescent="0.3">
      <c r="B134" s="90"/>
      <c r="C134" s="90"/>
    </row>
    <row r="135" spans="2:3" ht="16.5" x14ac:dyDescent="0.3">
      <c r="B135" s="90"/>
      <c r="C135" s="90"/>
    </row>
    <row r="136" spans="2:3" ht="16.5" x14ac:dyDescent="0.3">
      <c r="B136" s="90"/>
      <c r="C136" s="90"/>
    </row>
    <row r="137" spans="2:3" ht="16.5" x14ac:dyDescent="0.3">
      <c r="B137" s="90"/>
      <c r="C137" s="90"/>
    </row>
    <row r="138" spans="2:3" ht="16.5" x14ac:dyDescent="0.3">
      <c r="B138" s="90"/>
      <c r="C138" s="90"/>
    </row>
    <row r="139" spans="2:3" ht="16.5" x14ac:dyDescent="0.3">
      <c r="B139" s="90"/>
      <c r="C139" s="90"/>
    </row>
    <row r="140" spans="2:3" ht="16.5" x14ac:dyDescent="0.3">
      <c r="B140" s="90"/>
      <c r="C140" s="90"/>
    </row>
    <row r="141" spans="2:3" ht="16.5" x14ac:dyDescent="0.3">
      <c r="B141" s="90"/>
      <c r="C141" s="90"/>
    </row>
    <row r="142" spans="2:3" ht="16.5" x14ac:dyDescent="0.3">
      <c r="B142" s="90"/>
      <c r="C142" s="90"/>
    </row>
    <row r="143" spans="2:3" ht="16.5" x14ac:dyDescent="0.3">
      <c r="B143" s="90"/>
      <c r="C143" s="90"/>
    </row>
    <row r="144" spans="2:3" ht="16.5" x14ac:dyDescent="0.3">
      <c r="B144" s="90"/>
      <c r="C144" s="90"/>
    </row>
    <row r="145" spans="2:3" ht="16.5" x14ac:dyDescent="0.3">
      <c r="B145" s="90"/>
      <c r="C145" s="90"/>
    </row>
    <row r="146" spans="2:3" ht="16.5" x14ac:dyDescent="0.3">
      <c r="B146" s="90"/>
      <c r="C146" s="90"/>
    </row>
    <row r="147" spans="2:3" ht="16.5" x14ac:dyDescent="0.3">
      <c r="B147" s="90"/>
      <c r="C147" s="90"/>
    </row>
    <row r="148" spans="2:3" ht="16.5" x14ac:dyDescent="0.3">
      <c r="B148" s="90"/>
      <c r="C148" s="90"/>
    </row>
    <row r="149" spans="2:3" ht="16.5" x14ac:dyDescent="0.3">
      <c r="B149" s="90"/>
      <c r="C149" s="90"/>
    </row>
    <row r="150" spans="2:3" ht="16.5" x14ac:dyDescent="0.3">
      <c r="B150" s="90"/>
      <c r="C150" s="90"/>
    </row>
  </sheetData>
  <sortState xmlns:xlrd2="http://schemas.microsoft.com/office/spreadsheetml/2017/richdata2" ref="A2:F21">
    <sortCondition ref="A2:A21"/>
  </sortState>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A1:N95"/>
  <sheetViews>
    <sheetView workbookViewId="0">
      <selection activeCell="A96" sqref="A96:XFD839"/>
    </sheetView>
  </sheetViews>
  <sheetFormatPr defaultRowHeight="15" x14ac:dyDescent="0.25"/>
  <cols>
    <col min="1" max="1" width="11.7109375" customWidth="1"/>
    <col min="2" max="2" width="14.140625" customWidth="1"/>
    <col min="3" max="6" width="11.7109375" customWidth="1"/>
    <col min="7" max="7" width="14.42578125" customWidth="1"/>
    <col min="8" max="8" width="12.85546875" customWidth="1"/>
    <col min="9" max="9" width="12.5703125" customWidth="1"/>
    <col min="10" max="10" width="11.7109375" customWidth="1"/>
  </cols>
  <sheetData>
    <row r="1" spans="1:14" x14ac:dyDescent="0.25">
      <c r="A1" t="s">
        <v>475</v>
      </c>
      <c r="B1" s="79">
        <v>45815</v>
      </c>
      <c r="C1" s="79">
        <v>45822</v>
      </c>
      <c r="D1" s="79">
        <v>45829</v>
      </c>
      <c r="E1" s="79">
        <v>45836</v>
      </c>
      <c r="F1" s="79">
        <v>45843</v>
      </c>
      <c r="J1" s="79"/>
      <c r="K1" s="79"/>
      <c r="L1" s="79"/>
      <c r="M1" s="79"/>
      <c r="N1" s="79"/>
    </row>
    <row r="2" spans="1:14" x14ac:dyDescent="0.25">
      <c r="A2" s="93" t="s">
        <v>660</v>
      </c>
      <c r="B2" s="92"/>
      <c r="C2" s="92"/>
      <c r="D2" s="92"/>
      <c r="E2" s="92"/>
      <c r="F2" s="92"/>
    </row>
    <row r="3" spans="1:14" x14ac:dyDescent="0.25">
      <c r="A3" s="93" t="s">
        <v>661</v>
      </c>
      <c r="B3" s="92"/>
      <c r="C3" s="92"/>
      <c r="D3" s="92"/>
      <c r="E3" s="92"/>
      <c r="F3" s="92"/>
    </row>
    <row r="4" spans="1:14" x14ac:dyDescent="0.25">
      <c r="A4" s="93" t="s">
        <v>662</v>
      </c>
      <c r="B4" s="92"/>
      <c r="C4" s="92"/>
      <c r="D4" s="92"/>
      <c r="E4" s="92"/>
      <c r="F4" s="92"/>
    </row>
    <row r="5" spans="1:14" x14ac:dyDescent="0.25">
      <c r="A5" s="93" t="s">
        <v>663</v>
      </c>
      <c r="B5" s="92"/>
      <c r="C5" s="92"/>
      <c r="D5" s="92"/>
      <c r="E5" s="92"/>
      <c r="F5" s="92"/>
    </row>
    <row r="6" spans="1:14" x14ac:dyDescent="0.25">
      <c r="A6" s="93" t="s">
        <v>664</v>
      </c>
      <c r="B6" s="92"/>
      <c r="C6" s="92"/>
      <c r="D6" s="92"/>
      <c r="E6" s="92"/>
      <c r="F6" s="92"/>
    </row>
    <row r="7" spans="1:14" x14ac:dyDescent="0.25">
      <c r="A7" t="s">
        <v>665</v>
      </c>
      <c r="B7" s="92"/>
      <c r="C7" s="92"/>
      <c r="D7" s="92"/>
      <c r="E7" s="92"/>
      <c r="F7" s="92"/>
    </row>
    <row r="8" spans="1:14" x14ac:dyDescent="0.25">
      <c r="A8" t="s">
        <v>666</v>
      </c>
      <c r="B8" s="92"/>
      <c r="C8" s="92"/>
      <c r="D8" s="92"/>
      <c r="E8" s="92"/>
      <c r="F8" s="92"/>
    </row>
    <row r="9" spans="1:14" x14ac:dyDescent="0.25">
      <c r="A9" t="s">
        <v>667</v>
      </c>
      <c r="B9" s="92"/>
      <c r="C9" s="92"/>
      <c r="D9" s="92"/>
      <c r="E9" s="92"/>
      <c r="F9" s="92"/>
    </row>
    <row r="10" spans="1:14" x14ac:dyDescent="0.25">
      <c r="A10" s="93" t="s">
        <v>668</v>
      </c>
      <c r="B10" s="92"/>
      <c r="C10" s="92"/>
      <c r="D10" s="92"/>
      <c r="E10" s="92"/>
      <c r="F10" s="92"/>
    </row>
    <row r="11" spans="1:14" x14ac:dyDescent="0.25">
      <c r="A11" t="s">
        <v>669</v>
      </c>
      <c r="B11" s="92"/>
      <c r="C11" s="92"/>
      <c r="D11" s="92"/>
      <c r="E11" s="92"/>
      <c r="F11" s="92"/>
    </row>
    <row r="12" spans="1:14" x14ac:dyDescent="0.25">
      <c r="A12" s="93" t="s">
        <v>670</v>
      </c>
      <c r="B12" s="92"/>
      <c r="C12" s="92"/>
      <c r="D12" s="92"/>
      <c r="E12" s="92"/>
      <c r="F12" s="92"/>
    </row>
    <row r="13" spans="1:14" x14ac:dyDescent="0.25">
      <c r="A13" t="s">
        <v>671</v>
      </c>
      <c r="B13" s="92"/>
      <c r="C13" s="92"/>
      <c r="D13" s="92"/>
      <c r="E13" s="92"/>
      <c r="F13" s="92"/>
    </row>
    <row r="14" spans="1:14" x14ac:dyDescent="0.25">
      <c r="A14" s="93" t="s">
        <v>672</v>
      </c>
      <c r="B14" s="92"/>
      <c r="C14" s="92"/>
      <c r="D14" s="92"/>
      <c r="E14" s="92"/>
      <c r="F14" s="92"/>
    </row>
    <row r="15" spans="1:14" x14ac:dyDescent="0.25">
      <c r="A15" s="93" t="s">
        <v>673</v>
      </c>
      <c r="B15" s="92"/>
      <c r="C15" s="92"/>
      <c r="D15" s="92"/>
      <c r="E15" s="92"/>
      <c r="F15" s="92"/>
    </row>
    <row r="16" spans="1:14" x14ac:dyDescent="0.25">
      <c r="A16" t="s">
        <v>674</v>
      </c>
      <c r="B16" s="92"/>
      <c r="C16" s="92"/>
      <c r="D16" s="92"/>
      <c r="E16" s="92"/>
      <c r="F16" s="92"/>
    </row>
    <row r="17" spans="1:6" x14ac:dyDescent="0.25">
      <c r="A17" s="93" t="s">
        <v>675</v>
      </c>
      <c r="B17" s="92"/>
      <c r="C17" s="92"/>
      <c r="D17" s="92"/>
      <c r="E17" s="92"/>
      <c r="F17" s="92"/>
    </row>
    <row r="18" spans="1:6" x14ac:dyDescent="0.25">
      <c r="A18" t="s">
        <v>676</v>
      </c>
      <c r="B18" s="92"/>
      <c r="C18" s="92"/>
      <c r="D18" s="92"/>
      <c r="E18" s="92"/>
      <c r="F18" s="92"/>
    </row>
    <row r="19" spans="1:6" x14ac:dyDescent="0.25">
      <c r="A19" s="93" t="s">
        <v>677</v>
      </c>
      <c r="B19" s="92"/>
      <c r="C19" s="92"/>
      <c r="D19" s="92"/>
      <c r="E19" s="92"/>
      <c r="F19" s="92"/>
    </row>
    <row r="20" spans="1:6" x14ac:dyDescent="0.25">
      <c r="A20" s="93" t="s">
        <v>678</v>
      </c>
      <c r="B20" s="92"/>
      <c r="C20" s="92"/>
      <c r="D20" s="92"/>
      <c r="E20" s="92"/>
      <c r="F20" s="92"/>
    </row>
    <row r="21" spans="1:6" x14ac:dyDescent="0.25">
      <c r="A21" s="93" t="s">
        <v>679</v>
      </c>
      <c r="B21" s="92"/>
      <c r="C21" s="92"/>
      <c r="D21" s="92"/>
      <c r="E21" s="92"/>
      <c r="F21" s="92"/>
    </row>
    <row r="22" spans="1:6" x14ac:dyDescent="0.25">
      <c r="A22" s="93" t="s">
        <v>680</v>
      </c>
      <c r="B22" s="92"/>
      <c r="C22" s="92"/>
      <c r="D22" s="92"/>
      <c r="E22" s="92"/>
      <c r="F22" s="92"/>
    </row>
    <row r="23" spans="1:6" x14ac:dyDescent="0.25">
      <c r="A23" s="93" t="s">
        <v>681</v>
      </c>
      <c r="B23" s="92"/>
      <c r="C23" s="92"/>
      <c r="D23" s="92"/>
      <c r="E23" s="92"/>
      <c r="F23" s="92"/>
    </row>
    <row r="24" spans="1:6" x14ac:dyDescent="0.25">
      <c r="A24" s="93" t="s">
        <v>682</v>
      </c>
      <c r="B24" s="92"/>
      <c r="C24" s="92"/>
      <c r="D24" s="92"/>
      <c r="E24" s="92"/>
      <c r="F24" s="92"/>
    </row>
    <row r="25" spans="1:6" x14ac:dyDescent="0.25">
      <c r="A25" s="93" t="s">
        <v>683</v>
      </c>
      <c r="B25" s="92"/>
      <c r="C25" s="92"/>
      <c r="D25" s="92"/>
      <c r="E25" s="92"/>
      <c r="F25" s="92"/>
    </row>
    <row r="26" spans="1:6" x14ac:dyDescent="0.25">
      <c r="A26" s="93" t="s">
        <v>684</v>
      </c>
      <c r="B26" s="92"/>
      <c r="C26" s="92"/>
      <c r="D26" s="92"/>
      <c r="E26" s="92"/>
      <c r="F26" s="92"/>
    </row>
    <row r="27" spans="1:6" x14ac:dyDescent="0.25">
      <c r="A27" s="93" t="s">
        <v>685</v>
      </c>
      <c r="B27" s="92"/>
      <c r="C27" s="92"/>
      <c r="D27" s="92"/>
      <c r="E27" s="92"/>
      <c r="F27" s="92"/>
    </row>
    <row r="28" spans="1:6" x14ac:dyDescent="0.25">
      <c r="A28" s="93" t="s">
        <v>686</v>
      </c>
      <c r="B28" s="92"/>
      <c r="C28" s="92"/>
      <c r="D28" s="92"/>
      <c r="E28" s="92"/>
      <c r="F28" s="92"/>
    </row>
    <row r="29" spans="1:6" x14ac:dyDescent="0.25">
      <c r="A29" s="93" t="s">
        <v>687</v>
      </c>
      <c r="B29" s="92"/>
      <c r="C29" s="92"/>
      <c r="D29" s="92"/>
      <c r="E29" s="92"/>
      <c r="F29" s="92"/>
    </row>
    <row r="30" spans="1:6" x14ac:dyDescent="0.25">
      <c r="A30" s="93" t="s">
        <v>688</v>
      </c>
      <c r="B30" s="92"/>
      <c r="C30" s="92"/>
      <c r="D30" s="92"/>
      <c r="E30" s="92"/>
      <c r="F30" s="92"/>
    </row>
    <row r="31" spans="1:6" x14ac:dyDescent="0.25">
      <c r="A31" s="93" t="s">
        <v>689</v>
      </c>
      <c r="B31" s="92"/>
      <c r="C31" s="92"/>
      <c r="D31" s="92"/>
      <c r="E31" s="92"/>
      <c r="F31" s="92"/>
    </row>
    <row r="32" spans="1:6" x14ac:dyDescent="0.25">
      <c r="A32" s="93" t="s">
        <v>690</v>
      </c>
      <c r="B32" s="92"/>
      <c r="C32" s="92"/>
      <c r="D32" s="92"/>
      <c r="E32" s="92"/>
      <c r="F32" s="92"/>
    </row>
    <row r="33" spans="1:6" x14ac:dyDescent="0.25">
      <c r="A33" s="93" t="s">
        <v>691</v>
      </c>
      <c r="B33" s="92"/>
      <c r="C33" s="92"/>
      <c r="D33" s="92"/>
      <c r="E33" s="92"/>
      <c r="F33" s="92"/>
    </row>
    <row r="34" spans="1:6" x14ac:dyDescent="0.25">
      <c r="A34" s="93" t="s">
        <v>692</v>
      </c>
      <c r="B34" s="92"/>
      <c r="C34" s="92"/>
      <c r="D34" s="92"/>
      <c r="E34" s="92"/>
      <c r="F34" s="92"/>
    </row>
    <row r="35" spans="1:6" x14ac:dyDescent="0.25">
      <c r="A35" t="s">
        <v>693</v>
      </c>
      <c r="B35" s="92"/>
      <c r="C35" s="92"/>
      <c r="D35" s="92"/>
      <c r="E35" s="92"/>
      <c r="F35" s="92"/>
    </row>
    <row r="36" spans="1:6" x14ac:dyDescent="0.25">
      <c r="A36" t="s">
        <v>694</v>
      </c>
      <c r="B36" s="92"/>
      <c r="C36" s="92"/>
      <c r="D36" s="92"/>
      <c r="E36" s="92"/>
      <c r="F36" s="92"/>
    </row>
    <row r="37" spans="1:6" x14ac:dyDescent="0.25">
      <c r="A37" t="s">
        <v>695</v>
      </c>
      <c r="B37" s="92"/>
      <c r="C37" s="92"/>
      <c r="D37" s="92"/>
      <c r="E37" s="92"/>
      <c r="F37" s="92"/>
    </row>
    <row r="38" spans="1:6" x14ac:dyDescent="0.25">
      <c r="A38" t="s">
        <v>696</v>
      </c>
      <c r="B38" s="92"/>
      <c r="C38" s="92"/>
      <c r="D38" s="92"/>
      <c r="E38" s="92"/>
      <c r="F38" s="92"/>
    </row>
    <row r="39" spans="1:6" x14ac:dyDescent="0.25">
      <c r="A39" t="s">
        <v>697</v>
      </c>
      <c r="B39" s="92"/>
      <c r="C39" s="92"/>
      <c r="D39" s="92"/>
      <c r="E39" s="92"/>
      <c r="F39" s="92"/>
    </row>
    <row r="40" spans="1:6" x14ac:dyDescent="0.25">
      <c r="A40" t="s">
        <v>698</v>
      </c>
      <c r="B40" s="92"/>
      <c r="C40" s="92"/>
      <c r="D40" s="92"/>
      <c r="E40" s="92"/>
      <c r="F40" s="92"/>
    </row>
    <row r="41" spans="1:6" x14ac:dyDescent="0.25">
      <c r="A41" t="s">
        <v>699</v>
      </c>
      <c r="B41" s="92"/>
      <c r="C41" s="92"/>
      <c r="D41" s="92"/>
      <c r="E41" s="92"/>
      <c r="F41" s="92"/>
    </row>
    <row r="42" spans="1:6" x14ac:dyDescent="0.25">
      <c r="A42" t="s">
        <v>700</v>
      </c>
      <c r="B42" s="92"/>
      <c r="C42" s="92"/>
      <c r="D42" s="92"/>
      <c r="E42" s="92"/>
      <c r="F42" s="92"/>
    </row>
    <row r="43" spans="1:6" x14ac:dyDescent="0.25">
      <c r="A43" t="s">
        <v>701</v>
      </c>
      <c r="B43" s="92"/>
      <c r="C43" s="92"/>
      <c r="D43" s="92"/>
      <c r="E43" s="92"/>
      <c r="F43" s="92"/>
    </row>
    <row r="44" spans="1:6" x14ac:dyDescent="0.25">
      <c r="A44" t="s">
        <v>702</v>
      </c>
      <c r="B44" s="92"/>
      <c r="C44" s="92"/>
      <c r="D44" s="92"/>
      <c r="E44" s="92"/>
      <c r="F44" s="92"/>
    </row>
    <row r="45" spans="1:6" x14ac:dyDescent="0.25">
      <c r="A45" t="s">
        <v>703</v>
      </c>
      <c r="B45" s="92"/>
      <c r="C45" s="92"/>
      <c r="D45" s="92"/>
      <c r="E45" s="92"/>
      <c r="F45" s="92"/>
    </row>
    <row r="46" spans="1:6" x14ac:dyDescent="0.25">
      <c r="A46" t="s">
        <v>704</v>
      </c>
      <c r="B46" s="92"/>
      <c r="C46" s="92"/>
      <c r="D46" s="92"/>
      <c r="E46" s="92"/>
      <c r="F46" s="92"/>
    </row>
    <row r="47" spans="1:6" x14ac:dyDescent="0.25">
      <c r="A47" t="s">
        <v>705</v>
      </c>
      <c r="B47" s="92"/>
      <c r="C47" s="92"/>
      <c r="D47" s="92"/>
      <c r="E47" s="92"/>
      <c r="F47" s="92"/>
    </row>
    <row r="48" spans="1:6" x14ac:dyDescent="0.25">
      <c r="A48" t="s">
        <v>706</v>
      </c>
      <c r="B48" s="92"/>
      <c r="C48" s="92"/>
      <c r="D48" s="92"/>
      <c r="E48" s="92"/>
      <c r="F48" s="92"/>
    </row>
    <row r="49" spans="1:6" x14ac:dyDescent="0.25">
      <c r="A49" t="s">
        <v>707</v>
      </c>
      <c r="B49" s="92"/>
      <c r="C49" s="92"/>
      <c r="D49" s="92"/>
      <c r="E49" s="92"/>
      <c r="F49" s="92"/>
    </row>
    <row r="50" spans="1:6" x14ac:dyDescent="0.25">
      <c r="A50" t="s">
        <v>708</v>
      </c>
      <c r="B50" s="92"/>
      <c r="C50" s="92"/>
      <c r="D50" s="92"/>
      <c r="E50" s="92"/>
      <c r="F50" s="92"/>
    </row>
    <row r="51" spans="1:6" x14ac:dyDescent="0.25">
      <c r="A51" t="s">
        <v>709</v>
      </c>
      <c r="B51" s="91"/>
      <c r="C51" s="91"/>
      <c r="D51" s="91"/>
      <c r="E51" s="91"/>
      <c r="F51" s="91"/>
    </row>
    <row r="52" spans="1:6" x14ac:dyDescent="0.25">
      <c r="A52" t="s">
        <v>710</v>
      </c>
      <c r="B52" s="91"/>
      <c r="C52" s="91"/>
      <c r="D52" s="91"/>
      <c r="E52" s="91"/>
      <c r="F52" s="91"/>
    </row>
    <row r="53" spans="1:6" x14ac:dyDescent="0.25">
      <c r="A53" t="s">
        <v>711</v>
      </c>
      <c r="B53" s="91"/>
      <c r="C53" s="91"/>
      <c r="D53" s="91"/>
      <c r="E53" s="91"/>
      <c r="F53" s="91"/>
    </row>
    <row r="54" spans="1:6" x14ac:dyDescent="0.25">
      <c r="A54" t="s">
        <v>712</v>
      </c>
    </row>
    <row r="55" spans="1:6" x14ac:dyDescent="0.25">
      <c r="A55" t="s">
        <v>713</v>
      </c>
    </row>
    <row r="56" spans="1:6" x14ac:dyDescent="0.25">
      <c r="A56" t="s">
        <v>714</v>
      </c>
    </row>
    <row r="57" spans="1:6" x14ac:dyDescent="0.25">
      <c r="A57" t="s">
        <v>715</v>
      </c>
    </row>
    <row r="58" spans="1:6" x14ac:dyDescent="0.25">
      <c r="A58" t="s">
        <v>716</v>
      </c>
    </row>
    <row r="59" spans="1:6" x14ac:dyDescent="0.25">
      <c r="A59" t="s">
        <v>717</v>
      </c>
    </row>
    <row r="60" spans="1:6" x14ac:dyDescent="0.25">
      <c r="A60" t="s">
        <v>718</v>
      </c>
    </row>
    <row r="61" spans="1:6" x14ac:dyDescent="0.25">
      <c r="A61" t="s">
        <v>719</v>
      </c>
    </row>
    <row r="62" spans="1:6" x14ac:dyDescent="0.25">
      <c r="A62" t="s">
        <v>720</v>
      </c>
    </row>
    <row r="63" spans="1:6" x14ac:dyDescent="0.25">
      <c r="A63" t="s">
        <v>721</v>
      </c>
    </row>
    <row r="64" spans="1:6" x14ac:dyDescent="0.25">
      <c r="A64" t="s">
        <v>722</v>
      </c>
    </row>
    <row r="65" spans="1:1" x14ac:dyDescent="0.25">
      <c r="A65" t="s">
        <v>723</v>
      </c>
    </row>
    <row r="66" spans="1:1" x14ac:dyDescent="0.25">
      <c r="A66" t="s">
        <v>724</v>
      </c>
    </row>
    <row r="67" spans="1:1" x14ac:dyDescent="0.25">
      <c r="A67" t="s">
        <v>725</v>
      </c>
    </row>
    <row r="68" spans="1:1" x14ac:dyDescent="0.25">
      <c r="A68" t="s">
        <v>726</v>
      </c>
    </row>
    <row r="69" spans="1:1" x14ac:dyDescent="0.25">
      <c r="A69" t="s">
        <v>727</v>
      </c>
    </row>
    <row r="70" spans="1:1" x14ac:dyDescent="0.25">
      <c r="A70" t="s">
        <v>728</v>
      </c>
    </row>
    <row r="71" spans="1:1" x14ac:dyDescent="0.25">
      <c r="A71" t="s">
        <v>729</v>
      </c>
    </row>
    <row r="72" spans="1:1" x14ac:dyDescent="0.25">
      <c r="A72" t="s">
        <v>730</v>
      </c>
    </row>
    <row r="73" spans="1:1" x14ac:dyDescent="0.25">
      <c r="A73" t="s">
        <v>731</v>
      </c>
    </row>
    <row r="74" spans="1:1" x14ac:dyDescent="0.25">
      <c r="A74" t="s">
        <v>732</v>
      </c>
    </row>
    <row r="75" spans="1:1" x14ac:dyDescent="0.25">
      <c r="A75" t="s">
        <v>733</v>
      </c>
    </row>
    <row r="76" spans="1:1" x14ac:dyDescent="0.25">
      <c r="A76" t="s">
        <v>734</v>
      </c>
    </row>
    <row r="77" spans="1:1" x14ac:dyDescent="0.25">
      <c r="A77" t="s">
        <v>735</v>
      </c>
    </row>
    <row r="78" spans="1:1" x14ac:dyDescent="0.25">
      <c r="A78" t="s">
        <v>736</v>
      </c>
    </row>
    <row r="79" spans="1:1" x14ac:dyDescent="0.25">
      <c r="A79" t="s">
        <v>737</v>
      </c>
    </row>
    <row r="80" spans="1:1" x14ac:dyDescent="0.25">
      <c r="A80" t="s">
        <v>738</v>
      </c>
    </row>
    <row r="81" spans="1:1" x14ac:dyDescent="0.25">
      <c r="A81" t="s">
        <v>739</v>
      </c>
    </row>
    <row r="82" spans="1:1" x14ac:dyDescent="0.25">
      <c r="A82" t="s">
        <v>740</v>
      </c>
    </row>
    <row r="83" spans="1:1" x14ac:dyDescent="0.25">
      <c r="A83" t="s">
        <v>741</v>
      </c>
    </row>
    <row r="84" spans="1:1" x14ac:dyDescent="0.25">
      <c r="A84" t="s">
        <v>742</v>
      </c>
    </row>
    <row r="85" spans="1:1" x14ac:dyDescent="0.25">
      <c r="A85" t="s">
        <v>743</v>
      </c>
    </row>
    <row r="86" spans="1:1" x14ac:dyDescent="0.25">
      <c r="A86" t="s">
        <v>744</v>
      </c>
    </row>
    <row r="87" spans="1:1" x14ac:dyDescent="0.25">
      <c r="A87" t="s">
        <v>320</v>
      </c>
    </row>
    <row r="88" spans="1:1" x14ac:dyDescent="0.25">
      <c r="A88" t="s">
        <v>745</v>
      </c>
    </row>
    <row r="89" spans="1:1" x14ac:dyDescent="0.25">
      <c r="A89" t="s">
        <v>746</v>
      </c>
    </row>
    <row r="90" spans="1:1" x14ac:dyDescent="0.25">
      <c r="A90" t="s">
        <v>747</v>
      </c>
    </row>
    <row r="91" spans="1:1" x14ac:dyDescent="0.25">
      <c r="A91" t="s">
        <v>748</v>
      </c>
    </row>
    <row r="92" spans="1:1" x14ac:dyDescent="0.25">
      <c r="A92" t="s">
        <v>749</v>
      </c>
    </row>
    <row r="93" spans="1:1" x14ac:dyDescent="0.25">
      <c r="A93" t="s">
        <v>750</v>
      </c>
    </row>
    <row r="94" spans="1:1" x14ac:dyDescent="0.25">
      <c r="A94" t="s">
        <v>751</v>
      </c>
    </row>
    <row r="95" spans="1:1" x14ac:dyDescent="0.25">
      <c r="A95" t="s">
        <v>752</v>
      </c>
    </row>
  </sheetData>
  <sortState xmlns:xlrd2="http://schemas.microsoft.com/office/spreadsheetml/2017/richdata2" ref="A2:N44">
    <sortCondition descending="1" ref="A2:A44"/>
  </sortState>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dimension ref="A1:U426"/>
  <sheetViews>
    <sheetView zoomScale="80" zoomScaleNormal="80" workbookViewId="0">
      <selection activeCell="G3" sqref="G3"/>
    </sheetView>
  </sheetViews>
  <sheetFormatPr defaultRowHeight="15" x14ac:dyDescent="0.25"/>
  <cols>
    <col min="8" max="8" width="15" customWidth="1"/>
    <col min="12" max="12" width="11.7109375" customWidth="1"/>
    <col min="13" max="14" width="12" customWidth="1"/>
    <col min="18" max="18" width="15.42578125" bestFit="1" customWidth="1"/>
    <col min="19" max="19" width="17.5703125" bestFit="1" customWidth="1"/>
  </cols>
  <sheetData>
    <row r="1" spans="1:21" s="27" customFormat="1" x14ac:dyDescent="0.25">
      <c r="A1" s="27" t="s">
        <v>286</v>
      </c>
      <c r="B1" s="27" t="s">
        <v>272</v>
      </c>
      <c r="C1" s="27" t="s">
        <v>287</v>
      </c>
      <c r="D1" s="27" t="s">
        <v>288</v>
      </c>
      <c r="E1" s="27" t="s">
        <v>289</v>
      </c>
      <c r="F1" s="27" t="s">
        <v>290</v>
      </c>
      <c r="G1" s="27" t="s">
        <v>291</v>
      </c>
      <c r="H1" s="27" t="s">
        <v>292</v>
      </c>
      <c r="I1" s="27" t="s">
        <v>293</v>
      </c>
      <c r="J1" s="27" t="s">
        <v>294</v>
      </c>
      <c r="K1" s="27" t="s">
        <v>295</v>
      </c>
      <c r="L1" s="27" t="s">
        <v>296</v>
      </c>
      <c r="M1" s="27" t="s">
        <v>297</v>
      </c>
      <c r="N1" s="27" t="s">
        <v>298</v>
      </c>
      <c r="O1" s="27" t="s">
        <v>299</v>
      </c>
      <c r="P1" s="27" t="s">
        <v>300</v>
      </c>
      <c r="Q1" s="27" t="s">
        <v>301</v>
      </c>
      <c r="R1" s="27" t="s">
        <v>302</v>
      </c>
      <c r="S1" s="27" t="s">
        <v>303</v>
      </c>
      <c r="T1" s="27" t="s">
        <v>304</v>
      </c>
      <c r="U1" s="27" t="s">
        <v>305</v>
      </c>
    </row>
    <row r="2" spans="1:21" x14ac:dyDescent="0.25">
      <c r="A2" t="s">
        <v>209</v>
      </c>
      <c r="B2">
        <v>4.99</v>
      </c>
      <c r="C2">
        <v>-10.83</v>
      </c>
      <c r="D2">
        <v>0.71</v>
      </c>
      <c r="E2">
        <v>0.61099999999999999</v>
      </c>
      <c r="F2" s="25">
        <v>0</v>
      </c>
      <c r="G2">
        <v>0.26600000000000001</v>
      </c>
      <c r="H2">
        <v>-60.26</v>
      </c>
      <c r="I2">
        <v>6.15</v>
      </c>
      <c r="J2">
        <v>-0.75</v>
      </c>
      <c r="K2" s="26">
        <v>10.54</v>
      </c>
      <c r="L2">
        <v>5.63</v>
      </c>
      <c r="M2" s="25">
        <v>9.9400000000000002E-2</v>
      </c>
      <c r="N2" s="25">
        <v>-4.9500000000000002E-2</v>
      </c>
      <c r="O2">
        <v>0.98</v>
      </c>
      <c r="P2" s="25">
        <v>4.7399999999999998E-2</v>
      </c>
      <c r="Q2" s="25">
        <v>-6.5299999999999997E-2</v>
      </c>
      <c r="R2" s="26">
        <v>387246</v>
      </c>
      <c r="S2" s="26">
        <v>1074970000</v>
      </c>
      <c r="T2">
        <v>0.62</v>
      </c>
      <c r="U2" s="25">
        <v>5.3199999999999997E-2</v>
      </c>
    </row>
    <row r="3" spans="1:21" x14ac:dyDescent="0.25">
      <c r="A3" t="s">
        <v>36</v>
      </c>
      <c r="B3">
        <v>20.77</v>
      </c>
      <c r="C3">
        <v>5.22</v>
      </c>
      <c r="D3">
        <v>0.79</v>
      </c>
      <c r="E3">
        <v>0</v>
      </c>
      <c r="F3" s="25">
        <v>9.3700000000000006E-2</v>
      </c>
      <c r="G3">
        <v>0</v>
      </c>
      <c r="H3">
        <v>0</v>
      </c>
      <c r="I3">
        <v>0</v>
      </c>
      <c r="J3">
        <v>0</v>
      </c>
      <c r="K3">
        <v>0</v>
      </c>
      <c r="L3">
        <v>0</v>
      </c>
      <c r="M3" s="25">
        <v>0</v>
      </c>
      <c r="N3" s="25">
        <v>0</v>
      </c>
      <c r="O3">
        <v>0</v>
      </c>
      <c r="P3" s="25">
        <v>0</v>
      </c>
      <c r="Q3" s="25">
        <v>0.15049999999999999</v>
      </c>
      <c r="R3" s="26">
        <v>14067900</v>
      </c>
      <c r="S3" s="26">
        <v>6472310000</v>
      </c>
      <c r="T3">
        <v>0</v>
      </c>
      <c r="U3" s="25">
        <v>0.30580000000000002</v>
      </c>
    </row>
    <row r="4" spans="1:21" x14ac:dyDescent="0.25">
      <c r="A4" t="s">
        <v>7</v>
      </c>
      <c r="B4">
        <v>13.59</v>
      </c>
      <c r="C4">
        <v>14.84</v>
      </c>
      <c r="D4">
        <v>2.27</v>
      </c>
      <c r="E4">
        <v>2.3370000000000002</v>
      </c>
      <c r="F4" s="25">
        <v>6.7900000000000002E-2</v>
      </c>
      <c r="G4">
        <v>1.454</v>
      </c>
      <c r="H4">
        <v>50.91</v>
      </c>
      <c r="I4">
        <v>10.58</v>
      </c>
      <c r="J4">
        <v>-25.89</v>
      </c>
      <c r="K4">
        <v>9.73</v>
      </c>
      <c r="L4">
        <v>7.28</v>
      </c>
      <c r="M4" s="25">
        <v>0.22090000000000001</v>
      </c>
      <c r="N4" s="25">
        <v>0.16200000000000001</v>
      </c>
      <c r="O4">
        <v>1.1100000000000001</v>
      </c>
      <c r="P4" s="25">
        <v>0.19189999999999999</v>
      </c>
      <c r="Q4" s="25">
        <v>0.1527</v>
      </c>
      <c r="R4" s="26">
        <v>353090000</v>
      </c>
      <c r="S4" s="26">
        <v>94528300000</v>
      </c>
      <c r="T4">
        <v>0.03</v>
      </c>
      <c r="U4" s="25">
        <v>8.6699999999999999E-2</v>
      </c>
    </row>
    <row r="5" spans="1:21" x14ac:dyDescent="0.25">
      <c r="A5" t="s">
        <v>306</v>
      </c>
      <c r="B5">
        <v>1.56</v>
      </c>
      <c r="C5">
        <v>-4.09</v>
      </c>
      <c r="D5">
        <v>-1.29</v>
      </c>
      <c r="E5">
        <v>770.92399999999998</v>
      </c>
      <c r="F5" s="25">
        <v>0</v>
      </c>
      <c r="G5">
        <v>105.126</v>
      </c>
      <c r="H5">
        <v>-1.43</v>
      </c>
      <c r="I5" s="26">
        <v>-5.69</v>
      </c>
      <c r="J5">
        <v>-1.27</v>
      </c>
      <c r="K5" s="26">
        <v>-5.69</v>
      </c>
      <c r="L5">
        <v>-5.81</v>
      </c>
      <c r="M5" s="25">
        <v>-135.48500000000001</v>
      </c>
      <c r="N5" s="25">
        <v>-188.60599999999999</v>
      </c>
      <c r="O5">
        <v>0</v>
      </c>
      <c r="P5" s="25">
        <v>5.2169999999999996</v>
      </c>
      <c r="Q5" s="25">
        <v>0.31469999999999998</v>
      </c>
      <c r="R5" s="26">
        <v>2064</v>
      </c>
      <c r="S5" s="26">
        <v>-19776000</v>
      </c>
      <c r="T5">
        <v>0</v>
      </c>
      <c r="U5" s="25">
        <v>0.43480000000000002</v>
      </c>
    </row>
    <row r="6" spans="1:21" x14ac:dyDescent="0.25">
      <c r="A6" t="s">
        <v>307</v>
      </c>
      <c r="B6">
        <v>4.34</v>
      </c>
      <c r="C6">
        <v>-0.27</v>
      </c>
      <c r="D6">
        <v>2.4300000000000002</v>
      </c>
      <c r="E6">
        <v>0.223</v>
      </c>
      <c r="F6" s="25">
        <v>0</v>
      </c>
      <c r="G6">
        <v>0.128</v>
      </c>
      <c r="H6">
        <v>-30.62</v>
      </c>
      <c r="I6">
        <v>-0.38</v>
      </c>
      <c r="J6">
        <v>-0.23</v>
      </c>
      <c r="K6">
        <v>-2.48</v>
      </c>
      <c r="L6">
        <v>-2.9</v>
      </c>
      <c r="M6" s="25">
        <v>-0.59119999999999995</v>
      </c>
      <c r="N6" s="25">
        <v>-0.81510000000000005</v>
      </c>
      <c r="O6">
        <v>0.99</v>
      </c>
      <c r="P6" s="25">
        <v>-0.37409999999999999</v>
      </c>
      <c r="Q6" s="25">
        <v>-8.8948</v>
      </c>
      <c r="R6" s="26">
        <v>656366</v>
      </c>
      <c r="S6" s="26">
        <v>111006000</v>
      </c>
      <c r="T6">
        <v>14.59</v>
      </c>
      <c r="U6" s="25">
        <v>-0.18770000000000001</v>
      </c>
    </row>
    <row r="7" spans="1:21" x14ac:dyDescent="0.25">
      <c r="A7" t="s">
        <v>308</v>
      </c>
      <c r="B7">
        <v>7.57</v>
      </c>
      <c r="C7">
        <v>18.28</v>
      </c>
      <c r="D7">
        <v>1.99</v>
      </c>
      <c r="E7">
        <v>6.3040000000000003</v>
      </c>
      <c r="F7" s="25">
        <v>5.67E-2</v>
      </c>
      <c r="G7">
        <v>1.3520000000000001</v>
      </c>
      <c r="H7">
        <v>9.99</v>
      </c>
      <c r="I7">
        <v>13.02</v>
      </c>
      <c r="J7">
        <v>-18.149999999999999</v>
      </c>
      <c r="K7">
        <v>13.22</v>
      </c>
      <c r="L7">
        <v>13.16</v>
      </c>
      <c r="M7" s="25">
        <v>0.48409999999999997</v>
      </c>
      <c r="N7" s="25">
        <v>0.34470000000000001</v>
      </c>
      <c r="O7">
        <v>2.2400000000000002</v>
      </c>
      <c r="P7" s="25">
        <v>0.1124</v>
      </c>
      <c r="Q7" s="25">
        <v>0.1086</v>
      </c>
      <c r="R7" s="26">
        <v>2168.7600000000002</v>
      </c>
      <c r="S7" s="26">
        <v>240521000</v>
      </c>
      <c r="T7">
        <v>0.13</v>
      </c>
      <c r="U7" s="25">
        <v>4.3900000000000002E-2</v>
      </c>
    </row>
    <row r="8" spans="1:21" x14ac:dyDescent="0.25">
      <c r="A8" t="s">
        <v>45</v>
      </c>
      <c r="B8">
        <v>20.43</v>
      </c>
      <c r="C8">
        <v>6.78</v>
      </c>
      <c r="D8">
        <v>0.97</v>
      </c>
      <c r="E8">
        <v>1.548</v>
      </c>
      <c r="F8" s="25">
        <v>7.6200000000000004E-2</v>
      </c>
      <c r="G8">
        <v>0.52800000000000002</v>
      </c>
      <c r="H8">
        <v>4.54</v>
      </c>
      <c r="I8">
        <v>5.17</v>
      </c>
      <c r="J8">
        <v>-3.83</v>
      </c>
      <c r="K8">
        <v>8.26</v>
      </c>
      <c r="L8">
        <v>6.9</v>
      </c>
      <c r="M8" s="25">
        <v>0.29959999999999998</v>
      </c>
      <c r="N8" s="25">
        <v>0.22850000000000001</v>
      </c>
      <c r="O8">
        <v>1.58</v>
      </c>
      <c r="P8" s="25">
        <v>0.1113</v>
      </c>
      <c r="Q8" s="25">
        <v>0.14269999999999999</v>
      </c>
      <c r="R8" s="26">
        <v>3277710</v>
      </c>
      <c r="S8" s="26">
        <v>2169900000</v>
      </c>
      <c r="T8">
        <v>0.62</v>
      </c>
      <c r="U8" s="25">
        <v>-4.7000000000000002E-3</v>
      </c>
    </row>
    <row r="9" spans="1:21" x14ac:dyDescent="0.25">
      <c r="A9" t="s">
        <v>309</v>
      </c>
      <c r="B9">
        <v>6.03</v>
      </c>
      <c r="C9">
        <v>-0.04</v>
      </c>
      <c r="D9">
        <v>-0.05</v>
      </c>
      <c r="E9">
        <v>0.03</v>
      </c>
      <c r="F9" s="25">
        <v>0</v>
      </c>
      <c r="G9">
        <v>2.9000000000000001E-2</v>
      </c>
      <c r="H9">
        <v>-0.03</v>
      </c>
      <c r="I9">
        <v>-0.06</v>
      </c>
      <c r="J9">
        <v>-0.03</v>
      </c>
      <c r="K9">
        <v>-0.83</v>
      </c>
      <c r="L9">
        <v>-0.91</v>
      </c>
      <c r="M9" s="25">
        <v>-0.48830000000000001</v>
      </c>
      <c r="N9" s="25">
        <v>-0.877</v>
      </c>
      <c r="O9">
        <v>0.33</v>
      </c>
      <c r="P9" s="25">
        <v>-2.0348000000000002</v>
      </c>
      <c r="Q9" s="25">
        <v>1.4531000000000001</v>
      </c>
      <c r="R9" s="26">
        <v>128969</v>
      </c>
      <c r="S9" s="26">
        <v>-2009680000</v>
      </c>
      <c r="T9">
        <v>-0.75</v>
      </c>
      <c r="U9" s="25">
        <v>-1.4500000000000001E-2</v>
      </c>
    </row>
    <row r="10" spans="1:21" x14ac:dyDescent="0.25">
      <c r="A10" t="s">
        <v>310</v>
      </c>
      <c r="B10">
        <v>35.5</v>
      </c>
      <c r="C10">
        <v>2.63</v>
      </c>
      <c r="D10">
        <v>1.25</v>
      </c>
      <c r="E10">
        <v>0.438</v>
      </c>
      <c r="F10" s="25">
        <v>0</v>
      </c>
      <c r="G10">
        <v>0.54900000000000004</v>
      </c>
      <c r="H10">
        <v>1.73</v>
      </c>
      <c r="I10">
        <v>3.87</v>
      </c>
      <c r="J10">
        <v>-5.21</v>
      </c>
      <c r="K10">
        <v>3.21</v>
      </c>
      <c r="L10">
        <v>2.96</v>
      </c>
      <c r="M10" s="25">
        <v>0.1132</v>
      </c>
      <c r="N10" s="25">
        <v>0.16639999999999999</v>
      </c>
      <c r="O10">
        <v>3.3</v>
      </c>
      <c r="P10" s="25">
        <v>0.17219999999999999</v>
      </c>
      <c r="Q10" s="25">
        <v>0.47449999999999998</v>
      </c>
      <c r="R10" s="26">
        <v>2235.4299999999998</v>
      </c>
      <c r="S10" s="26">
        <v>242674000</v>
      </c>
      <c r="T10">
        <v>0.02</v>
      </c>
      <c r="U10" s="25">
        <v>0.46410000000000001</v>
      </c>
    </row>
    <row r="11" spans="1:21" x14ac:dyDescent="0.25">
      <c r="A11" t="s">
        <v>311</v>
      </c>
      <c r="B11">
        <v>58</v>
      </c>
      <c r="C11">
        <v>4.3</v>
      </c>
      <c r="D11">
        <v>2.04</v>
      </c>
      <c r="E11">
        <v>0.71599999999999997</v>
      </c>
      <c r="F11" s="25">
        <v>0</v>
      </c>
      <c r="G11">
        <v>0.89600000000000002</v>
      </c>
      <c r="H11">
        <v>2.82</v>
      </c>
      <c r="I11">
        <v>6.33</v>
      </c>
      <c r="J11">
        <v>-8.51</v>
      </c>
      <c r="K11">
        <v>5.67</v>
      </c>
      <c r="L11">
        <v>5.22</v>
      </c>
      <c r="M11" s="25">
        <v>0.1132</v>
      </c>
      <c r="N11" s="25">
        <v>0.16639999999999999</v>
      </c>
      <c r="O11">
        <v>3.3</v>
      </c>
      <c r="P11" s="25">
        <v>0.17219999999999999</v>
      </c>
      <c r="Q11" s="25">
        <v>0.47449999999999998</v>
      </c>
      <c r="R11" s="26">
        <v>1266.67</v>
      </c>
      <c r="S11" s="26">
        <v>242674000</v>
      </c>
      <c r="T11">
        <v>0.02</v>
      </c>
      <c r="U11" s="25">
        <v>0.46410000000000001</v>
      </c>
    </row>
    <row r="12" spans="1:21" x14ac:dyDescent="0.25">
      <c r="A12" t="s">
        <v>57</v>
      </c>
      <c r="B12">
        <v>6.91</v>
      </c>
      <c r="C12">
        <v>5.91</v>
      </c>
      <c r="D12">
        <v>0.41</v>
      </c>
      <c r="E12">
        <v>0.123</v>
      </c>
      <c r="F12" s="25">
        <v>0.18640000000000001</v>
      </c>
      <c r="G12">
        <v>0.19</v>
      </c>
      <c r="H12">
        <v>0.57999999999999996</v>
      </c>
      <c r="I12">
        <v>5.38</v>
      </c>
      <c r="J12">
        <v>1.0900000000000001</v>
      </c>
      <c r="K12">
        <v>6.51</v>
      </c>
      <c r="L12">
        <v>4.55</v>
      </c>
      <c r="M12" s="25">
        <v>2.29E-2</v>
      </c>
      <c r="N12" s="25">
        <v>2.0799999999999999E-2</v>
      </c>
      <c r="O12">
        <v>1.86</v>
      </c>
      <c r="P12" s="25">
        <v>6.13E-2</v>
      </c>
      <c r="Q12" s="25">
        <v>6.9000000000000006E-2</v>
      </c>
      <c r="R12" s="26">
        <v>392012</v>
      </c>
      <c r="S12" s="26">
        <v>1601680000</v>
      </c>
      <c r="T12">
        <v>0.3</v>
      </c>
      <c r="U12" s="25">
        <v>9.9000000000000008E-3</v>
      </c>
    </row>
    <row r="13" spans="1:21" x14ac:dyDescent="0.25">
      <c r="A13" t="s">
        <v>312</v>
      </c>
      <c r="B13">
        <v>21.52</v>
      </c>
      <c r="C13">
        <v>13.55</v>
      </c>
      <c r="D13">
        <v>0.87</v>
      </c>
      <c r="E13">
        <v>4.2560000000000002</v>
      </c>
      <c r="F13" s="25">
        <v>5.0900000000000001E-2</v>
      </c>
      <c r="G13">
        <v>0.439</v>
      </c>
      <c r="H13">
        <v>4.54</v>
      </c>
      <c r="I13">
        <v>8.8000000000000007</v>
      </c>
      <c r="J13">
        <v>-1.38</v>
      </c>
      <c r="K13">
        <v>6.48</v>
      </c>
      <c r="L13">
        <v>4.43</v>
      </c>
      <c r="M13" s="25">
        <v>0.48359999999999997</v>
      </c>
      <c r="N13" s="25">
        <v>0.35070000000000001</v>
      </c>
      <c r="O13">
        <v>2.87</v>
      </c>
      <c r="P13" s="25">
        <v>5.6599999999999998E-2</v>
      </c>
      <c r="Q13" s="25">
        <v>6.4199999999999993E-2</v>
      </c>
      <c r="R13" s="26">
        <v>88479300</v>
      </c>
      <c r="S13" s="26">
        <v>13432600000</v>
      </c>
      <c r="T13">
        <v>0</v>
      </c>
      <c r="U13" s="25">
        <v>0.42659999999999998</v>
      </c>
    </row>
    <row r="14" spans="1:21" x14ac:dyDescent="0.25">
      <c r="A14" t="s">
        <v>177</v>
      </c>
      <c r="B14">
        <v>7.64</v>
      </c>
      <c r="C14">
        <v>26.69</v>
      </c>
      <c r="D14">
        <v>1.29</v>
      </c>
      <c r="E14">
        <v>1.222</v>
      </c>
      <c r="F14" s="25">
        <v>1.2699999999999999E-2</v>
      </c>
      <c r="G14">
        <v>0.81799999999999995</v>
      </c>
      <c r="H14">
        <v>3.1</v>
      </c>
      <c r="I14">
        <v>17.8</v>
      </c>
      <c r="J14">
        <v>6.55</v>
      </c>
      <c r="K14">
        <v>17.100000000000001</v>
      </c>
      <c r="L14">
        <v>9.17</v>
      </c>
      <c r="M14" s="25">
        <v>6.8699999999999997E-2</v>
      </c>
      <c r="N14" s="25">
        <v>4.5699999999999998E-2</v>
      </c>
      <c r="O14">
        <v>2.17</v>
      </c>
      <c r="P14" s="25">
        <v>6.0600000000000001E-2</v>
      </c>
      <c r="Q14" s="25">
        <v>4.8300000000000003E-2</v>
      </c>
      <c r="R14" s="26">
        <v>74326.3</v>
      </c>
      <c r="S14" s="26">
        <v>4051630000</v>
      </c>
      <c r="T14">
        <v>0.22</v>
      </c>
      <c r="U14" s="25">
        <v>3.3799999999999997E-2</v>
      </c>
    </row>
    <row r="15" spans="1:21" x14ac:dyDescent="0.25">
      <c r="A15" t="s">
        <v>67</v>
      </c>
      <c r="B15">
        <v>8.6</v>
      </c>
      <c r="C15">
        <v>30.04</v>
      </c>
      <c r="D15">
        <v>1.45</v>
      </c>
      <c r="E15">
        <v>1.3759999999999999</v>
      </c>
      <c r="F15" s="25">
        <v>1.24E-2</v>
      </c>
      <c r="G15">
        <v>0.92100000000000004</v>
      </c>
      <c r="H15">
        <v>3.49</v>
      </c>
      <c r="I15">
        <v>20.04</v>
      </c>
      <c r="J15">
        <v>7.37</v>
      </c>
      <c r="K15">
        <v>19.329999999999998</v>
      </c>
      <c r="L15">
        <v>10.37</v>
      </c>
      <c r="M15" s="25">
        <v>6.8699999999999997E-2</v>
      </c>
      <c r="N15" s="25">
        <v>4.5699999999999998E-2</v>
      </c>
      <c r="O15">
        <v>2.17</v>
      </c>
      <c r="P15" s="25">
        <v>6.0600000000000001E-2</v>
      </c>
      <c r="Q15" s="25">
        <v>4.8300000000000003E-2</v>
      </c>
      <c r="R15" s="26">
        <v>14760600</v>
      </c>
      <c r="S15" s="26">
        <v>4051630000</v>
      </c>
      <c r="T15">
        <v>0.22</v>
      </c>
      <c r="U15" s="25">
        <v>3.3799999999999997E-2</v>
      </c>
    </row>
    <row r="16" spans="1:21" x14ac:dyDescent="0.25">
      <c r="A16" t="s">
        <v>313</v>
      </c>
      <c r="B16">
        <v>2.98</v>
      </c>
      <c r="C16">
        <v>-140.93</v>
      </c>
      <c r="D16">
        <v>1.87</v>
      </c>
      <c r="E16">
        <v>0.39400000000000002</v>
      </c>
      <c r="F16" s="25">
        <v>0</v>
      </c>
      <c r="G16">
        <v>0.26400000000000001</v>
      </c>
      <c r="H16">
        <v>-2.25</v>
      </c>
      <c r="I16">
        <v>1.6</v>
      </c>
      <c r="J16">
        <v>-0.38</v>
      </c>
      <c r="K16">
        <v>4.74</v>
      </c>
      <c r="L16">
        <v>2.94</v>
      </c>
      <c r="M16" s="25">
        <v>0.24579999999999999</v>
      </c>
      <c r="N16" s="25">
        <v>2E-3</v>
      </c>
      <c r="O16">
        <v>0.57999999999999996</v>
      </c>
      <c r="P16" s="25">
        <v>0.18340000000000001</v>
      </c>
      <c r="Q16" s="25">
        <v>-1.3299999999999999E-2</v>
      </c>
      <c r="R16" s="26">
        <v>334607</v>
      </c>
      <c r="S16" s="26">
        <v>346060000</v>
      </c>
      <c r="T16">
        <v>4.1399999999999997</v>
      </c>
      <c r="U16" s="25">
        <v>0.29049999999999998</v>
      </c>
    </row>
    <row r="17" spans="1:21" x14ac:dyDescent="0.25">
      <c r="A17" t="s">
        <v>314</v>
      </c>
      <c r="B17">
        <v>29.79</v>
      </c>
      <c r="C17">
        <v>8.69</v>
      </c>
      <c r="D17">
        <v>1.1499999999999999</v>
      </c>
      <c r="E17">
        <v>2.3220000000000001</v>
      </c>
      <c r="F17" s="25">
        <v>2.81E-2</v>
      </c>
      <c r="G17">
        <v>0.315</v>
      </c>
      <c r="H17">
        <v>2.86</v>
      </c>
      <c r="I17">
        <v>3.47</v>
      </c>
      <c r="J17">
        <v>-0.78</v>
      </c>
      <c r="K17">
        <v>6.64</v>
      </c>
      <c r="L17">
        <v>6.25</v>
      </c>
      <c r="M17" s="25">
        <v>0.66830000000000001</v>
      </c>
      <c r="N17" s="25">
        <v>0.45929999999999999</v>
      </c>
      <c r="O17">
        <v>2.15</v>
      </c>
      <c r="P17" s="25">
        <v>0.1036</v>
      </c>
      <c r="Q17" s="25">
        <v>0.1326</v>
      </c>
      <c r="R17" s="26">
        <v>32495500</v>
      </c>
      <c r="S17" s="26">
        <v>8518980000</v>
      </c>
      <c r="T17">
        <v>1.48</v>
      </c>
      <c r="U17" s="25">
        <v>-0.1187</v>
      </c>
    </row>
    <row r="18" spans="1:21" x14ac:dyDescent="0.25">
      <c r="A18" t="s">
        <v>315</v>
      </c>
      <c r="B18">
        <v>10.42</v>
      </c>
      <c r="C18">
        <v>9.1199999999999992</v>
      </c>
      <c r="D18">
        <v>1.21</v>
      </c>
      <c r="E18">
        <v>2.4359999999999999</v>
      </c>
      <c r="F18" s="25">
        <v>2.6800000000000001E-2</v>
      </c>
      <c r="G18">
        <v>0.33100000000000002</v>
      </c>
      <c r="H18">
        <v>3.01</v>
      </c>
      <c r="I18">
        <v>3.65</v>
      </c>
      <c r="J18">
        <v>-0.82</v>
      </c>
      <c r="K18">
        <v>6.81</v>
      </c>
      <c r="L18">
        <v>6.41</v>
      </c>
      <c r="M18" s="25">
        <v>0.66830000000000001</v>
      </c>
      <c r="N18" s="25">
        <v>0.45929999999999999</v>
      </c>
      <c r="O18">
        <v>2.15</v>
      </c>
      <c r="P18" s="25">
        <v>0.1036</v>
      </c>
      <c r="Q18" s="25">
        <v>0.1326</v>
      </c>
      <c r="R18" s="26">
        <v>65044.1</v>
      </c>
      <c r="S18" s="26">
        <v>8518980000</v>
      </c>
      <c r="T18">
        <v>1.48</v>
      </c>
      <c r="U18" s="25">
        <v>-0.1187</v>
      </c>
    </row>
    <row r="19" spans="1:21" x14ac:dyDescent="0.25">
      <c r="A19" t="s">
        <v>66</v>
      </c>
      <c r="B19">
        <v>9.52</v>
      </c>
      <c r="C19">
        <v>8.33</v>
      </c>
      <c r="D19">
        <v>1.1100000000000001</v>
      </c>
      <c r="E19">
        <v>2.226</v>
      </c>
      <c r="F19" s="25">
        <v>2.93E-2</v>
      </c>
      <c r="G19">
        <v>0.30199999999999999</v>
      </c>
      <c r="H19">
        <v>2.75</v>
      </c>
      <c r="I19">
        <v>3.33</v>
      </c>
      <c r="J19">
        <v>-0.75</v>
      </c>
      <c r="K19">
        <v>6.5</v>
      </c>
      <c r="L19">
        <v>6.11</v>
      </c>
      <c r="M19" s="25">
        <v>0.66830000000000001</v>
      </c>
      <c r="N19" s="25">
        <v>0.45929999999999999</v>
      </c>
      <c r="O19">
        <v>2.15</v>
      </c>
      <c r="P19" s="25">
        <v>0.1036</v>
      </c>
      <c r="Q19" s="25">
        <v>0.1326</v>
      </c>
      <c r="R19" s="26">
        <v>105027</v>
      </c>
      <c r="S19" s="26">
        <v>8518980000</v>
      </c>
      <c r="T19">
        <v>1.48</v>
      </c>
      <c r="U19" s="25">
        <v>-0.1187</v>
      </c>
    </row>
    <row r="20" spans="1:21" x14ac:dyDescent="0.25">
      <c r="A20" t="s">
        <v>316</v>
      </c>
      <c r="B20">
        <v>1.27</v>
      </c>
      <c r="C20">
        <v>-3.95</v>
      </c>
      <c r="D20">
        <v>2.27</v>
      </c>
      <c r="E20">
        <v>0.45400000000000001</v>
      </c>
      <c r="F20" s="25">
        <v>0</v>
      </c>
      <c r="G20">
        <v>0.31900000000000001</v>
      </c>
      <c r="H20">
        <v>-1.75</v>
      </c>
      <c r="I20">
        <v>6.38</v>
      </c>
      <c r="J20">
        <v>-0.55000000000000004</v>
      </c>
      <c r="K20">
        <v>12.59</v>
      </c>
      <c r="L20">
        <v>4.76</v>
      </c>
      <c r="M20" s="25">
        <v>7.1199999999999999E-2</v>
      </c>
      <c r="N20" s="25">
        <v>-0.1149</v>
      </c>
      <c r="O20">
        <v>0.6</v>
      </c>
      <c r="P20" s="25">
        <v>6.3100000000000003E-2</v>
      </c>
      <c r="Q20" s="25">
        <v>-0.57469999999999999</v>
      </c>
      <c r="R20" s="26">
        <v>259189</v>
      </c>
      <c r="S20" s="26">
        <v>287288000</v>
      </c>
      <c r="T20">
        <v>2.2400000000000002</v>
      </c>
      <c r="U20" s="25">
        <v>-0.12559999999999999</v>
      </c>
    </row>
    <row r="21" spans="1:21" x14ac:dyDescent="0.25">
      <c r="A21" t="s">
        <v>196</v>
      </c>
      <c r="B21">
        <v>142.85</v>
      </c>
      <c r="C21">
        <v>-106.14</v>
      </c>
      <c r="D21">
        <v>18.14</v>
      </c>
      <c r="E21">
        <v>3.4649999999999999</v>
      </c>
      <c r="F21" s="25">
        <v>0</v>
      </c>
      <c r="G21">
        <v>1.389</v>
      </c>
      <c r="H21">
        <v>4.8099999999999996</v>
      </c>
      <c r="I21">
        <v>20.95</v>
      </c>
      <c r="J21">
        <v>-3.3</v>
      </c>
      <c r="K21">
        <v>26.43</v>
      </c>
      <c r="L21">
        <v>15.93</v>
      </c>
      <c r="M21" s="25">
        <v>0.16539999999999999</v>
      </c>
      <c r="N21" s="25">
        <v>-1.9699999999999999E-2</v>
      </c>
      <c r="O21">
        <v>2.88</v>
      </c>
      <c r="P21" s="25">
        <v>9.64E-2</v>
      </c>
      <c r="Q21" s="25">
        <v>-0.1709</v>
      </c>
      <c r="R21" s="26">
        <v>28266900</v>
      </c>
      <c r="S21" s="26">
        <v>1315480000</v>
      </c>
      <c r="T21">
        <v>8.5</v>
      </c>
      <c r="U21" s="25">
        <v>0.6452</v>
      </c>
    </row>
    <row r="22" spans="1:21" x14ac:dyDescent="0.25">
      <c r="A22" t="s">
        <v>317</v>
      </c>
      <c r="B22">
        <v>5.0599999999999996</v>
      </c>
      <c r="C22">
        <v>0.14000000000000001</v>
      </c>
      <c r="D22">
        <v>0.23</v>
      </c>
      <c r="E22">
        <v>7.3999999999999996E-2</v>
      </c>
      <c r="F22" s="25">
        <v>0</v>
      </c>
      <c r="G22">
        <v>5.8000000000000003E-2</v>
      </c>
      <c r="H22">
        <v>0.43</v>
      </c>
      <c r="I22">
        <v>-0.78</v>
      </c>
      <c r="J22">
        <v>-0.18</v>
      </c>
      <c r="K22">
        <v>-1.52</v>
      </c>
      <c r="L22">
        <v>-6.68</v>
      </c>
      <c r="M22" s="25">
        <v>-9.5399999999999999E-2</v>
      </c>
      <c r="N22" s="25">
        <v>0.53639999999999999</v>
      </c>
      <c r="O22">
        <v>1.49</v>
      </c>
      <c r="P22" s="25">
        <v>-9.4299999999999995E-2</v>
      </c>
      <c r="Q22" s="25">
        <v>1.6384000000000001</v>
      </c>
      <c r="R22" s="26">
        <v>12327400</v>
      </c>
      <c r="S22" s="26">
        <v>4475000000</v>
      </c>
      <c r="T22">
        <v>0.41</v>
      </c>
      <c r="U22" s="25">
        <v>-1.9599999999999999E-2</v>
      </c>
    </row>
    <row r="23" spans="1:21" x14ac:dyDescent="0.25">
      <c r="A23" t="s">
        <v>318</v>
      </c>
      <c r="B23">
        <v>11.29</v>
      </c>
      <c r="C23">
        <v>-3.4</v>
      </c>
      <c r="D23">
        <v>0.19</v>
      </c>
      <c r="E23">
        <v>2.9000000000000001E-2</v>
      </c>
      <c r="F23" s="25">
        <v>0</v>
      </c>
      <c r="G23">
        <v>4.8000000000000001E-2</v>
      </c>
      <c r="H23">
        <v>0.22</v>
      </c>
      <c r="I23">
        <v>1.47</v>
      </c>
      <c r="J23">
        <v>-0.32</v>
      </c>
      <c r="K23">
        <v>10.42</v>
      </c>
      <c r="L23">
        <v>5.62</v>
      </c>
      <c r="M23" s="25">
        <v>0.02</v>
      </c>
      <c r="N23" s="25">
        <v>-8.6E-3</v>
      </c>
      <c r="O23">
        <v>1.61</v>
      </c>
      <c r="P23" s="25">
        <v>4.4999999999999998E-2</v>
      </c>
      <c r="Q23" s="25">
        <v>-5.5500000000000001E-2</v>
      </c>
      <c r="R23" s="26">
        <v>1843330</v>
      </c>
      <c r="S23" s="26">
        <v>2262550000</v>
      </c>
      <c r="T23">
        <v>1.53</v>
      </c>
      <c r="U23" s="25">
        <v>0</v>
      </c>
    </row>
    <row r="24" spans="1:21" x14ac:dyDescent="0.25">
      <c r="A24" t="s">
        <v>167</v>
      </c>
      <c r="B24">
        <v>3.65</v>
      </c>
      <c r="C24">
        <v>12.67</v>
      </c>
      <c r="D24">
        <v>0.62</v>
      </c>
      <c r="E24">
        <v>0.38300000000000001</v>
      </c>
      <c r="F24" s="25">
        <v>0.14380000000000001</v>
      </c>
      <c r="G24">
        <v>0.14799999999999999</v>
      </c>
      <c r="H24">
        <v>1.23</v>
      </c>
      <c r="I24">
        <v>1.39</v>
      </c>
      <c r="J24">
        <v>-0.31</v>
      </c>
      <c r="K24">
        <v>5.13</v>
      </c>
      <c r="L24">
        <v>3.58</v>
      </c>
      <c r="M24" s="25">
        <v>0.27600000000000002</v>
      </c>
      <c r="N24" s="25">
        <v>6.4199999999999993E-2</v>
      </c>
      <c r="O24">
        <v>2.06</v>
      </c>
      <c r="P24" s="25">
        <v>0.1275</v>
      </c>
      <c r="Q24" s="25">
        <v>4.9099999999999998E-2</v>
      </c>
      <c r="R24" s="26">
        <v>25162300</v>
      </c>
      <c r="S24" s="26">
        <v>2369750000</v>
      </c>
      <c r="T24">
        <v>2.27</v>
      </c>
      <c r="U24" s="25">
        <v>0.23</v>
      </c>
    </row>
    <row r="25" spans="1:21" x14ac:dyDescent="0.25">
      <c r="A25" t="s">
        <v>264</v>
      </c>
      <c r="B25">
        <v>3.93</v>
      </c>
      <c r="C25">
        <v>10.46</v>
      </c>
      <c r="D25">
        <v>1.08</v>
      </c>
      <c r="E25">
        <v>0.749</v>
      </c>
      <c r="F25" s="25">
        <v>3.6499999999999998E-2</v>
      </c>
      <c r="G25">
        <v>0.29799999999999999</v>
      </c>
      <c r="H25">
        <v>1.67</v>
      </c>
      <c r="I25">
        <v>2.83</v>
      </c>
      <c r="J25">
        <v>-0.73</v>
      </c>
      <c r="K25">
        <v>6.46</v>
      </c>
      <c r="L25">
        <v>4.46</v>
      </c>
      <c r="M25" s="25">
        <v>0.26490000000000002</v>
      </c>
      <c r="N25" s="25">
        <v>7.1599999999999997E-2</v>
      </c>
      <c r="O25">
        <v>2.42</v>
      </c>
      <c r="P25" s="25">
        <v>0.13800000000000001</v>
      </c>
      <c r="Q25" s="25">
        <v>0.1031</v>
      </c>
      <c r="R25" s="26">
        <v>8132890</v>
      </c>
      <c r="S25" s="26">
        <v>1263400000</v>
      </c>
      <c r="T25">
        <v>1.96</v>
      </c>
      <c r="U25" s="25">
        <v>0.49309999999999998</v>
      </c>
    </row>
    <row r="26" spans="1:21" x14ac:dyDescent="0.25">
      <c r="A26" t="s">
        <v>182</v>
      </c>
      <c r="B26">
        <v>9.68</v>
      </c>
      <c r="C26">
        <v>15.85</v>
      </c>
      <c r="D26">
        <v>2.4300000000000002</v>
      </c>
      <c r="E26">
        <v>0.17399999999999999</v>
      </c>
      <c r="F26" s="25">
        <v>1.11E-2</v>
      </c>
      <c r="G26">
        <v>0.29299999999999998</v>
      </c>
      <c r="H26">
        <v>16.16</v>
      </c>
      <c r="I26">
        <v>2.38</v>
      </c>
      <c r="J26">
        <v>-0.55000000000000004</v>
      </c>
      <c r="K26">
        <v>4.55</v>
      </c>
      <c r="L26">
        <v>3.49</v>
      </c>
      <c r="M26" s="25">
        <v>7.3099999999999998E-2</v>
      </c>
      <c r="N26" s="25">
        <v>1.0999999999999999E-2</v>
      </c>
      <c r="O26">
        <v>1.05</v>
      </c>
      <c r="P26" s="25">
        <v>0.1903</v>
      </c>
      <c r="Q26" s="25">
        <v>0.15340000000000001</v>
      </c>
      <c r="R26" s="26">
        <v>136291000</v>
      </c>
      <c r="S26" s="26">
        <v>5385000000</v>
      </c>
      <c r="T26">
        <v>3.03</v>
      </c>
      <c r="U26" s="25">
        <v>0.2361</v>
      </c>
    </row>
    <row r="27" spans="1:21" x14ac:dyDescent="0.25">
      <c r="A27" t="s">
        <v>319</v>
      </c>
      <c r="B27">
        <v>2.0499999999999998</v>
      </c>
      <c r="C27">
        <v>-9.67</v>
      </c>
      <c r="D27">
        <v>2.2999999999999998</v>
      </c>
      <c r="E27">
        <v>1.5640000000000001</v>
      </c>
      <c r="F27" s="25">
        <v>0</v>
      </c>
      <c r="G27">
        <v>1.859</v>
      </c>
      <c r="H27">
        <v>4.3</v>
      </c>
      <c r="I27">
        <v>26.36</v>
      </c>
      <c r="J27">
        <v>4.68</v>
      </c>
      <c r="K27">
        <v>25.96</v>
      </c>
      <c r="L27">
        <v>15.83</v>
      </c>
      <c r="M27" s="25">
        <v>5.9299999999999999E-2</v>
      </c>
      <c r="N27" s="25">
        <v>-0.1111</v>
      </c>
      <c r="O27">
        <v>6.45</v>
      </c>
      <c r="P27" s="25">
        <v>7.8299999999999995E-2</v>
      </c>
      <c r="Q27" s="25">
        <v>-0.2379</v>
      </c>
      <c r="R27" s="26">
        <v>38722.800000000003</v>
      </c>
      <c r="S27" s="26">
        <v>21223000</v>
      </c>
      <c r="T27">
        <v>0.06</v>
      </c>
      <c r="U27" s="25">
        <v>0</v>
      </c>
    </row>
    <row r="28" spans="1:21" x14ac:dyDescent="0.25">
      <c r="A28" t="s">
        <v>265</v>
      </c>
      <c r="B28">
        <v>1.25</v>
      </c>
      <c r="C28">
        <v>-0.21</v>
      </c>
      <c r="D28">
        <v>0.31</v>
      </c>
      <c r="E28">
        <v>8.5000000000000006E-2</v>
      </c>
      <c r="F28" s="25">
        <v>0</v>
      </c>
      <c r="G28">
        <v>0.03</v>
      </c>
      <c r="H28">
        <v>-0.12</v>
      </c>
      <c r="I28">
        <v>-0.62</v>
      </c>
      <c r="J28">
        <v>-0.04</v>
      </c>
      <c r="K28">
        <v>-3.53</v>
      </c>
      <c r="L28">
        <v>-17.98</v>
      </c>
      <c r="M28" s="25">
        <v>-0.1366</v>
      </c>
      <c r="N28" s="25">
        <v>-0.41139999999999999</v>
      </c>
      <c r="O28">
        <v>0.38</v>
      </c>
      <c r="P28" s="25">
        <v>-5.28E-2</v>
      </c>
      <c r="Q28" s="25">
        <v>-1.5024</v>
      </c>
      <c r="R28" s="26">
        <v>16591.3</v>
      </c>
      <c r="S28" s="26">
        <v>107351000</v>
      </c>
      <c r="T28">
        <v>2.09</v>
      </c>
      <c r="U28" s="25">
        <v>-0.25879999999999997</v>
      </c>
    </row>
    <row r="29" spans="1:21" x14ac:dyDescent="0.25">
      <c r="A29" t="s">
        <v>320</v>
      </c>
      <c r="B29">
        <v>46.3</v>
      </c>
      <c r="C29">
        <v>-18.89</v>
      </c>
      <c r="D29">
        <v>12.52</v>
      </c>
      <c r="E29">
        <v>2.8610000000000002</v>
      </c>
      <c r="F29" s="25">
        <v>9.5999999999999992E-3</v>
      </c>
      <c r="G29">
        <v>1.538</v>
      </c>
      <c r="H29">
        <v>35.270000000000003</v>
      </c>
      <c r="I29">
        <v>7.17</v>
      </c>
      <c r="J29">
        <v>-2.63</v>
      </c>
      <c r="K29">
        <v>8.27</v>
      </c>
      <c r="L29">
        <v>8.27</v>
      </c>
      <c r="M29" s="25">
        <v>0.39900000000000002</v>
      </c>
      <c r="N29" s="25">
        <v>-0.15140000000000001</v>
      </c>
      <c r="O29">
        <v>1.17</v>
      </c>
      <c r="P29" s="25">
        <v>0.2918</v>
      </c>
      <c r="Q29" s="25">
        <v>-0.66269999999999996</v>
      </c>
      <c r="R29" s="26">
        <v>18427300</v>
      </c>
      <c r="S29" s="26">
        <v>803132000</v>
      </c>
      <c r="T29">
        <v>3.34</v>
      </c>
      <c r="U29" s="25">
        <v>0.1147</v>
      </c>
    </row>
    <row r="30" spans="1:21" x14ac:dyDescent="0.25">
      <c r="A30" t="s">
        <v>87</v>
      </c>
      <c r="B30">
        <v>9.7200000000000006</v>
      </c>
      <c r="C30" s="26">
        <v>1755.45</v>
      </c>
      <c r="D30">
        <v>0.77</v>
      </c>
      <c r="E30">
        <v>1.0620000000000001</v>
      </c>
      <c r="F30" s="25">
        <v>5.8999999999999999E-3</v>
      </c>
      <c r="G30">
        <v>0.19500000000000001</v>
      </c>
      <c r="H30">
        <v>2.96</v>
      </c>
      <c r="I30">
        <v>7.02</v>
      </c>
      <c r="J30">
        <v>-0.38</v>
      </c>
      <c r="K30">
        <v>20.78</v>
      </c>
      <c r="L30">
        <v>13</v>
      </c>
      <c r="M30" s="25">
        <v>0.1512</v>
      </c>
      <c r="N30" s="25">
        <v>7.4999999999999997E-3</v>
      </c>
      <c r="O30">
        <v>1.45</v>
      </c>
      <c r="P30" s="25">
        <v>3.2300000000000002E-2</v>
      </c>
      <c r="Q30" s="25">
        <v>4.0000000000000002E-4</v>
      </c>
      <c r="R30" s="26">
        <v>39964100</v>
      </c>
      <c r="S30" s="26">
        <v>13251500000</v>
      </c>
      <c r="T30">
        <v>1.97</v>
      </c>
      <c r="U30" s="25">
        <v>0.3977</v>
      </c>
    </row>
    <row r="31" spans="1:21" x14ac:dyDescent="0.25">
      <c r="A31" t="s">
        <v>321</v>
      </c>
      <c r="B31">
        <v>1.72</v>
      </c>
      <c r="C31" s="26">
        <v>-28.68</v>
      </c>
      <c r="D31">
        <v>-3.86</v>
      </c>
      <c r="E31">
        <v>0.48399999999999999</v>
      </c>
      <c r="F31" s="25">
        <v>0</v>
      </c>
      <c r="G31">
        <v>0.24199999999999999</v>
      </c>
      <c r="H31">
        <v>-3.8</v>
      </c>
      <c r="I31">
        <v>1.76</v>
      </c>
      <c r="J31">
        <v>-0.37</v>
      </c>
      <c r="K31">
        <v>4.03</v>
      </c>
      <c r="L31" s="26">
        <v>4</v>
      </c>
      <c r="M31" s="25">
        <v>0.2752</v>
      </c>
      <c r="N31" s="25">
        <v>1.3899999999999999E-2</v>
      </c>
      <c r="O31">
        <v>0.86</v>
      </c>
      <c r="P31" s="25">
        <v>0.1759</v>
      </c>
      <c r="Q31" s="25">
        <v>0.13469999999999999</v>
      </c>
      <c r="R31" s="26">
        <v>24448.400000000001</v>
      </c>
      <c r="S31" s="26">
        <v>-86998000</v>
      </c>
      <c r="T31">
        <v>-7.67</v>
      </c>
      <c r="U31" s="25">
        <v>0.33529999999999999</v>
      </c>
    </row>
    <row r="32" spans="1:21" x14ac:dyDescent="0.25">
      <c r="A32" t="s">
        <v>249</v>
      </c>
      <c r="B32">
        <v>0.53</v>
      </c>
      <c r="C32">
        <v>-1.19</v>
      </c>
      <c r="D32">
        <v>0.44</v>
      </c>
      <c r="E32">
        <v>2.044</v>
      </c>
      <c r="F32" s="25">
        <v>0</v>
      </c>
      <c r="G32">
        <v>0.23899999999999999</v>
      </c>
      <c r="H32">
        <v>-1.53</v>
      </c>
      <c r="I32">
        <v>-3</v>
      </c>
      <c r="J32">
        <v>-0.73</v>
      </c>
      <c r="K32">
        <v>-4.28</v>
      </c>
      <c r="L32" s="26">
        <v>-6.61</v>
      </c>
      <c r="M32" s="25">
        <v>-0.68030000000000002</v>
      </c>
      <c r="N32" s="25">
        <v>-1.7121</v>
      </c>
      <c r="O32">
        <v>0.44</v>
      </c>
      <c r="P32" s="25">
        <v>-8.7300000000000003E-2</v>
      </c>
      <c r="Q32" s="25">
        <v>-0.36630000000000001</v>
      </c>
      <c r="R32" s="26">
        <v>807619</v>
      </c>
      <c r="S32" s="26">
        <v>718475000</v>
      </c>
      <c r="T32">
        <v>0.2</v>
      </c>
      <c r="U32" s="25">
        <v>0.54369999999999996</v>
      </c>
    </row>
    <row r="33" spans="1:21" x14ac:dyDescent="0.25">
      <c r="A33" t="s">
        <v>237</v>
      </c>
      <c r="B33">
        <v>0.56000000000000005</v>
      </c>
      <c r="C33">
        <v>-1.26</v>
      </c>
      <c r="D33">
        <v>0.46</v>
      </c>
      <c r="E33">
        <v>2.16</v>
      </c>
      <c r="F33" s="25">
        <v>0</v>
      </c>
      <c r="G33">
        <v>0.253</v>
      </c>
      <c r="H33">
        <v>-1.62</v>
      </c>
      <c r="I33">
        <v>-3.17</v>
      </c>
      <c r="J33">
        <v>-0.77</v>
      </c>
      <c r="K33" s="26">
        <v>-4.45</v>
      </c>
      <c r="L33">
        <v>-6.87</v>
      </c>
      <c r="M33" s="25">
        <v>-0.68030000000000002</v>
      </c>
      <c r="N33" s="25">
        <v>-1.7121</v>
      </c>
      <c r="O33">
        <v>0.44</v>
      </c>
      <c r="P33" s="25">
        <v>-8.7300000000000003E-2</v>
      </c>
      <c r="Q33" s="25">
        <v>-0.36630000000000001</v>
      </c>
      <c r="R33" s="26">
        <v>1873950</v>
      </c>
      <c r="S33" s="26">
        <v>718475000</v>
      </c>
      <c r="T33">
        <v>0.2</v>
      </c>
      <c r="U33" s="25">
        <v>0.54369999999999996</v>
      </c>
    </row>
    <row r="34" spans="1:21" x14ac:dyDescent="0.25">
      <c r="A34" t="s">
        <v>322</v>
      </c>
      <c r="B34">
        <v>0.55000000000000004</v>
      </c>
      <c r="C34">
        <v>-2.52</v>
      </c>
      <c r="D34">
        <v>0.72</v>
      </c>
      <c r="E34">
        <v>41.085999999999999</v>
      </c>
      <c r="F34" s="25">
        <v>0</v>
      </c>
      <c r="G34">
        <v>0.53800000000000003</v>
      </c>
      <c r="H34">
        <v>-6.5</v>
      </c>
      <c r="I34">
        <v>-14.37</v>
      </c>
      <c r="J34">
        <v>-2.16</v>
      </c>
      <c r="K34">
        <v>-15.48</v>
      </c>
      <c r="L34">
        <v>-109.41</v>
      </c>
      <c r="M34" s="25">
        <v>-2.8586</v>
      </c>
      <c r="N34" s="25">
        <v>-16.324400000000001</v>
      </c>
      <c r="O34">
        <v>0.08</v>
      </c>
      <c r="P34" s="25">
        <v>-3.8100000000000002E-2</v>
      </c>
      <c r="Q34" s="25">
        <v>-0.28770000000000001</v>
      </c>
      <c r="R34" s="26">
        <v>2888060</v>
      </c>
      <c r="S34" s="26">
        <v>150106000</v>
      </c>
      <c r="T34">
        <v>0.06</v>
      </c>
      <c r="U34" s="25">
        <v>0</v>
      </c>
    </row>
    <row r="35" spans="1:21" x14ac:dyDescent="0.25">
      <c r="A35" t="s">
        <v>258</v>
      </c>
      <c r="B35">
        <v>0.67</v>
      </c>
      <c r="C35">
        <v>0.05</v>
      </c>
      <c r="D35">
        <v>-0.02</v>
      </c>
      <c r="E35">
        <v>3.1E-2</v>
      </c>
      <c r="F35" s="25">
        <v>0</v>
      </c>
      <c r="G35">
        <v>2.4E-2</v>
      </c>
      <c r="H35">
        <v>-0.06</v>
      </c>
      <c r="I35">
        <v>0.14000000000000001</v>
      </c>
      <c r="J35">
        <v>-0.01</v>
      </c>
      <c r="K35">
        <v>7.48</v>
      </c>
      <c r="L35">
        <v>4.6399999999999997</v>
      </c>
      <c r="M35" s="25">
        <v>0.22259999999999999</v>
      </c>
      <c r="N35" s="25">
        <v>0.58760000000000001</v>
      </c>
      <c r="O35">
        <v>0.35</v>
      </c>
      <c r="P35" s="25">
        <v>0.22220000000000001</v>
      </c>
      <c r="Q35" s="25">
        <v>-0.41810000000000003</v>
      </c>
      <c r="R35" s="26">
        <v>31779100</v>
      </c>
      <c r="S35" s="26">
        <v>-28451100000</v>
      </c>
      <c r="T35">
        <v>-1.22</v>
      </c>
      <c r="U35" s="25">
        <v>0.4042</v>
      </c>
    </row>
    <row r="36" spans="1:21" x14ac:dyDescent="0.25">
      <c r="A36" t="s">
        <v>323</v>
      </c>
      <c r="B36">
        <v>37.119999999999997</v>
      </c>
      <c r="C36">
        <v>19.829999999999998</v>
      </c>
      <c r="D36">
        <v>0.98</v>
      </c>
      <c r="E36">
        <v>0.76600000000000001</v>
      </c>
      <c r="F36" s="25">
        <v>1.55E-2</v>
      </c>
      <c r="G36">
        <v>0.5</v>
      </c>
      <c r="H36">
        <v>3.08</v>
      </c>
      <c r="I36">
        <v>10.71</v>
      </c>
      <c r="J36">
        <v>-15.74</v>
      </c>
      <c r="K36">
        <v>13.69</v>
      </c>
      <c r="L36">
        <v>7.92</v>
      </c>
      <c r="M36" s="25">
        <v>7.1599999999999997E-2</v>
      </c>
      <c r="N36" s="25">
        <v>3.85E-2</v>
      </c>
      <c r="O36">
        <v>1.55</v>
      </c>
      <c r="P36" s="25">
        <v>5.6800000000000003E-2</v>
      </c>
      <c r="Q36" s="25">
        <v>4.9500000000000002E-2</v>
      </c>
      <c r="R36" s="26">
        <v>103598000</v>
      </c>
      <c r="S36" s="26">
        <v>7804360000</v>
      </c>
      <c r="T36">
        <v>0.42</v>
      </c>
      <c r="U36" s="25">
        <v>0.48170000000000002</v>
      </c>
    </row>
    <row r="37" spans="1:21" x14ac:dyDescent="0.25">
      <c r="A37" t="s">
        <v>183</v>
      </c>
      <c r="B37">
        <v>13.39</v>
      </c>
      <c r="C37">
        <v>14.9</v>
      </c>
      <c r="D37">
        <v>3.75</v>
      </c>
      <c r="E37">
        <v>6.5519999999999996</v>
      </c>
      <c r="F37" s="25">
        <v>2.2700000000000001E-2</v>
      </c>
      <c r="G37">
        <v>1.5229999999999999</v>
      </c>
      <c r="H37">
        <v>8.25</v>
      </c>
      <c r="I37">
        <v>11.05</v>
      </c>
      <c r="J37">
        <v>-6.2</v>
      </c>
      <c r="K37">
        <v>11.1</v>
      </c>
      <c r="L37">
        <v>10.47</v>
      </c>
      <c r="M37" s="25">
        <v>0.59299999999999997</v>
      </c>
      <c r="N37" s="25">
        <v>0.43969999999999998</v>
      </c>
      <c r="O37">
        <v>2.13</v>
      </c>
      <c r="P37" s="25">
        <v>0.20280000000000001</v>
      </c>
      <c r="Q37" s="25">
        <v>0.25180000000000002</v>
      </c>
      <c r="R37" s="26">
        <v>528021000</v>
      </c>
      <c r="S37" s="26">
        <v>18794600000</v>
      </c>
      <c r="T37">
        <v>0.79</v>
      </c>
      <c r="U37" s="25">
        <v>1.6E-2</v>
      </c>
    </row>
    <row r="38" spans="1:21" x14ac:dyDescent="0.25">
      <c r="A38" t="s">
        <v>324</v>
      </c>
      <c r="B38">
        <v>21</v>
      </c>
      <c r="C38">
        <v>6.63</v>
      </c>
      <c r="D38">
        <v>1.1299999999999999</v>
      </c>
      <c r="E38">
        <v>0.99299999999999999</v>
      </c>
      <c r="F38" s="25">
        <v>6.4600000000000005E-2</v>
      </c>
      <c r="G38">
        <v>0.73099999999999998</v>
      </c>
      <c r="H38">
        <v>1.43</v>
      </c>
      <c r="I38">
        <v>6.04</v>
      </c>
      <c r="J38">
        <v>1.95</v>
      </c>
      <c r="K38">
        <v>4.2</v>
      </c>
      <c r="L38">
        <v>3.65</v>
      </c>
      <c r="M38" s="25">
        <v>0.16450000000000001</v>
      </c>
      <c r="N38" s="25">
        <v>0.1517</v>
      </c>
      <c r="O38">
        <v>3.3</v>
      </c>
      <c r="P38" s="25">
        <v>0.17910000000000001</v>
      </c>
      <c r="Q38" s="25">
        <v>0.1699</v>
      </c>
      <c r="R38" s="26">
        <v>2433.36</v>
      </c>
      <c r="S38" s="26">
        <v>182554000</v>
      </c>
      <c r="T38">
        <v>0.09</v>
      </c>
      <c r="U38" s="25">
        <v>6.9500000000000006E-2</v>
      </c>
    </row>
    <row r="39" spans="1:21" x14ac:dyDescent="0.25">
      <c r="A39" t="s">
        <v>325</v>
      </c>
      <c r="B39">
        <v>15.8</v>
      </c>
      <c r="C39">
        <v>4.99</v>
      </c>
      <c r="D39">
        <v>0.85</v>
      </c>
      <c r="E39">
        <v>0.747</v>
      </c>
      <c r="F39" s="25">
        <v>8.5900000000000004E-2</v>
      </c>
      <c r="G39">
        <v>0.55000000000000004</v>
      </c>
      <c r="H39">
        <v>1.08</v>
      </c>
      <c r="I39">
        <v>4.54</v>
      </c>
      <c r="J39">
        <v>1.47</v>
      </c>
      <c r="K39">
        <v>2.7</v>
      </c>
      <c r="L39">
        <v>2.35</v>
      </c>
      <c r="M39" s="25">
        <v>0.16450000000000001</v>
      </c>
      <c r="N39" s="25">
        <v>0.1517</v>
      </c>
      <c r="O39">
        <v>3.3</v>
      </c>
      <c r="P39" s="25">
        <v>0.17910000000000001</v>
      </c>
      <c r="Q39" s="25">
        <v>0.1699</v>
      </c>
      <c r="R39" s="26">
        <v>12217.4</v>
      </c>
      <c r="S39" s="26">
        <v>182554000</v>
      </c>
      <c r="T39">
        <v>0.09</v>
      </c>
      <c r="U39" s="25">
        <v>6.9500000000000006E-2</v>
      </c>
    </row>
    <row r="40" spans="1:21" x14ac:dyDescent="0.25">
      <c r="A40" t="s">
        <v>326</v>
      </c>
      <c r="B40">
        <v>82.47</v>
      </c>
      <c r="C40">
        <v>16.100000000000001</v>
      </c>
      <c r="D40">
        <v>3.3</v>
      </c>
      <c r="E40">
        <v>1.681</v>
      </c>
      <c r="F40" s="25">
        <v>1.4999999999999999E-2</v>
      </c>
      <c r="G40">
        <v>2.2679999999999998</v>
      </c>
      <c r="H40">
        <v>9.61</v>
      </c>
      <c r="I40">
        <v>21.78</v>
      </c>
      <c r="J40">
        <v>10.3</v>
      </c>
      <c r="K40">
        <v>19.510000000000002</v>
      </c>
      <c r="L40">
        <v>15.29</v>
      </c>
      <c r="M40" s="25">
        <v>7.7200000000000005E-2</v>
      </c>
      <c r="N40" s="25">
        <v>0.10440000000000001</v>
      </c>
      <c r="O40">
        <v>1.79</v>
      </c>
      <c r="P40" s="25">
        <v>0.17910000000000001</v>
      </c>
      <c r="Q40" s="25">
        <v>0.2051</v>
      </c>
      <c r="R40" s="26">
        <v>19242.099999999999</v>
      </c>
      <c r="S40" s="26">
        <v>130425000</v>
      </c>
      <c r="T40">
        <v>0</v>
      </c>
      <c r="U40" s="25">
        <v>9.0999999999999998E-2</v>
      </c>
    </row>
    <row r="41" spans="1:21" x14ac:dyDescent="0.25">
      <c r="A41" t="s">
        <v>327</v>
      </c>
      <c r="B41">
        <v>70.22</v>
      </c>
      <c r="C41">
        <v>3.19</v>
      </c>
      <c r="D41">
        <v>0.59</v>
      </c>
      <c r="E41">
        <v>0</v>
      </c>
      <c r="F41" s="25">
        <v>0.1137</v>
      </c>
      <c r="G41">
        <v>0</v>
      </c>
      <c r="H41">
        <v>0</v>
      </c>
      <c r="I41">
        <v>0</v>
      </c>
      <c r="J41">
        <v>0</v>
      </c>
      <c r="K41">
        <v>0</v>
      </c>
      <c r="L41">
        <v>0</v>
      </c>
      <c r="M41" s="25">
        <v>0</v>
      </c>
      <c r="N41" s="25">
        <v>0</v>
      </c>
      <c r="O41">
        <v>0</v>
      </c>
      <c r="P41" s="25">
        <v>0</v>
      </c>
      <c r="Q41" s="25">
        <v>0.1842</v>
      </c>
      <c r="R41" s="26">
        <v>793198</v>
      </c>
      <c r="S41" s="26">
        <v>6691270000</v>
      </c>
      <c r="T41">
        <v>0</v>
      </c>
      <c r="U41" s="25">
        <v>9.7000000000000003E-2</v>
      </c>
    </row>
    <row r="42" spans="1:21" x14ac:dyDescent="0.25">
      <c r="A42" t="s">
        <v>232</v>
      </c>
      <c r="B42">
        <v>20.21</v>
      </c>
      <c r="C42">
        <v>3.48</v>
      </c>
      <c r="D42">
        <v>0.66</v>
      </c>
      <c r="E42">
        <v>0</v>
      </c>
      <c r="F42" s="25">
        <v>0.1177</v>
      </c>
      <c r="G42">
        <v>0</v>
      </c>
      <c r="H42">
        <v>0</v>
      </c>
      <c r="I42">
        <v>0</v>
      </c>
      <c r="J42">
        <v>0</v>
      </c>
      <c r="K42">
        <v>0</v>
      </c>
      <c r="L42">
        <v>0</v>
      </c>
      <c r="M42" s="25">
        <v>0</v>
      </c>
      <c r="N42" s="25">
        <v>0</v>
      </c>
      <c r="O42">
        <v>0</v>
      </c>
      <c r="P42" s="25">
        <v>0</v>
      </c>
      <c r="Q42" s="25">
        <v>0.1905</v>
      </c>
      <c r="R42" s="26">
        <v>701408000</v>
      </c>
      <c r="S42" s="26">
        <v>174643000000</v>
      </c>
      <c r="T42">
        <v>0</v>
      </c>
      <c r="U42" s="25">
        <v>0.15529999999999999</v>
      </c>
    </row>
    <row r="43" spans="1:21" x14ac:dyDescent="0.25">
      <c r="A43" t="s">
        <v>95</v>
      </c>
      <c r="B43">
        <v>13.63</v>
      </c>
      <c r="C43">
        <v>6.98</v>
      </c>
      <c r="D43">
        <v>0.88</v>
      </c>
      <c r="E43">
        <v>0</v>
      </c>
      <c r="F43" s="25">
        <v>8.3199999999999996E-2</v>
      </c>
      <c r="G43">
        <v>0</v>
      </c>
      <c r="H43">
        <v>0</v>
      </c>
      <c r="I43">
        <v>0</v>
      </c>
      <c r="J43">
        <v>0</v>
      </c>
      <c r="K43">
        <v>0</v>
      </c>
      <c r="L43">
        <v>0</v>
      </c>
      <c r="M43" s="25">
        <v>0</v>
      </c>
      <c r="N43" s="25">
        <v>0</v>
      </c>
      <c r="O43">
        <v>0</v>
      </c>
      <c r="P43" s="25">
        <v>0</v>
      </c>
      <c r="Q43" s="25">
        <v>0.12590000000000001</v>
      </c>
      <c r="R43" s="26">
        <v>131860000</v>
      </c>
      <c r="S43" s="26">
        <v>164193000000</v>
      </c>
      <c r="T43">
        <v>0</v>
      </c>
      <c r="U43" s="25">
        <v>-4.48E-2</v>
      </c>
    </row>
    <row r="44" spans="1:21" x14ac:dyDescent="0.25">
      <c r="A44" t="s">
        <v>110</v>
      </c>
      <c r="B44">
        <v>15.88</v>
      </c>
      <c r="C44">
        <v>8.1300000000000008</v>
      </c>
      <c r="D44">
        <v>1.02</v>
      </c>
      <c r="E44">
        <v>0</v>
      </c>
      <c r="F44" s="25">
        <v>7.85E-2</v>
      </c>
      <c r="G44">
        <v>0</v>
      </c>
      <c r="H44">
        <v>0</v>
      </c>
      <c r="I44">
        <v>0</v>
      </c>
      <c r="J44">
        <v>0</v>
      </c>
      <c r="K44">
        <v>0</v>
      </c>
      <c r="L44">
        <v>0</v>
      </c>
      <c r="M44" s="25">
        <v>0</v>
      </c>
      <c r="N44" s="25">
        <v>0</v>
      </c>
      <c r="O44">
        <v>0</v>
      </c>
      <c r="P44" s="25">
        <v>0</v>
      </c>
      <c r="Q44" s="25">
        <v>0.12590000000000001</v>
      </c>
      <c r="R44" s="26">
        <v>490577000</v>
      </c>
      <c r="S44" s="26">
        <v>164193000000</v>
      </c>
      <c r="T44">
        <v>0</v>
      </c>
      <c r="U44" s="25">
        <v>-4.48E-2</v>
      </c>
    </row>
    <row r="45" spans="1:21" x14ac:dyDescent="0.25">
      <c r="A45" t="s">
        <v>42</v>
      </c>
      <c r="B45">
        <v>33.78</v>
      </c>
      <c r="C45">
        <v>7.82</v>
      </c>
      <c r="D45">
        <v>5.79</v>
      </c>
      <c r="E45">
        <v>0</v>
      </c>
      <c r="F45" s="25">
        <v>0.1096</v>
      </c>
      <c r="G45">
        <v>3.6469999999999998</v>
      </c>
      <c r="H45">
        <v>0</v>
      </c>
      <c r="I45">
        <v>6.98</v>
      </c>
      <c r="J45">
        <v>0</v>
      </c>
      <c r="K45">
        <v>0</v>
      </c>
      <c r="L45">
        <v>0</v>
      </c>
      <c r="M45" s="25">
        <v>0</v>
      </c>
      <c r="N45" s="25">
        <v>0</v>
      </c>
      <c r="O45">
        <v>0</v>
      </c>
      <c r="P45" s="25">
        <v>0</v>
      </c>
      <c r="Q45" s="25">
        <v>0.74129999999999996</v>
      </c>
      <c r="R45" s="26">
        <v>181335000</v>
      </c>
      <c r="S45" s="26">
        <v>11662000000</v>
      </c>
      <c r="T45">
        <v>0</v>
      </c>
      <c r="U45" s="25">
        <v>0</v>
      </c>
    </row>
    <row r="46" spans="1:21" x14ac:dyDescent="0.25">
      <c r="A46" t="s">
        <v>328</v>
      </c>
      <c r="B46">
        <v>9</v>
      </c>
      <c r="C46">
        <v>-0.54</v>
      </c>
      <c r="D46">
        <v>-0.06</v>
      </c>
      <c r="E46">
        <v>0.34300000000000003</v>
      </c>
      <c r="F46" s="25">
        <v>0</v>
      </c>
      <c r="G46">
        <v>2.7E-2</v>
      </c>
      <c r="H46">
        <v>-0.05</v>
      </c>
      <c r="I46">
        <v>-1.1599999999999999</v>
      </c>
      <c r="J46">
        <v>-0.03</v>
      </c>
      <c r="K46">
        <v>-14.84</v>
      </c>
      <c r="L46">
        <v>-17.7</v>
      </c>
      <c r="M46" s="25">
        <v>-0.29549999999999998</v>
      </c>
      <c r="N46" s="25">
        <v>-0.63990000000000002</v>
      </c>
      <c r="O46">
        <v>0.46</v>
      </c>
      <c r="P46" s="25">
        <v>-2.5100000000000001E-2</v>
      </c>
      <c r="Q46" s="25">
        <v>0.11509999999999999</v>
      </c>
      <c r="R46" s="26">
        <v>339.52</v>
      </c>
      <c r="S46" s="26">
        <v>-233585000</v>
      </c>
      <c r="T46">
        <v>-0.8</v>
      </c>
      <c r="U46" s="25">
        <v>0.21890000000000001</v>
      </c>
    </row>
    <row r="47" spans="1:21" x14ac:dyDescent="0.25">
      <c r="A47" t="s">
        <v>329</v>
      </c>
      <c r="B47">
        <v>7.45</v>
      </c>
      <c r="C47">
        <v>-0.44</v>
      </c>
      <c r="D47">
        <v>-0.05</v>
      </c>
      <c r="E47">
        <v>0.28399999999999997</v>
      </c>
      <c r="F47" s="25">
        <v>0</v>
      </c>
      <c r="G47">
        <v>2.1999999999999999E-2</v>
      </c>
      <c r="H47">
        <v>-0.05</v>
      </c>
      <c r="I47">
        <v>-0.96</v>
      </c>
      <c r="J47">
        <v>-0.02</v>
      </c>
      <c r="K47">
        <v>-14.64</v>
      </c>
      <c r="L47">
        <v>-17.47</v>
      </c>
      <c r="M47" s="25">
        <v>-0.29549999999999998</v>
      </c>
      <c r="N47" s="25">
        <v>-0.63990000000000002</v>
      </c>
      <c r="O47">
        <v>0.46</v>
      </c>
      <c r="P47" s="25">
        <v>-2.5100000000000001E-2</v>
      </c>
      <c r="Q47" s="25">
        <v>0.11509999999999999</v>
      </c>
      <c r="R47" s="26">
        <v>1212.17</v>
      </c>
      <c r="S47" s="26">
        <v>-233585000</v>
      </c>
      <c r="T47">
        <v>-0.8</v>
      </c>
      <c r="U47" s="25">
        <v>0.21890000000000001</v>
      </c>
    </row>
    <row r="48" spans="1:21" x14ac:dyDescent="0.25">
      <c r="A48" t="s">
        <v>179</v>
      </c>
      <c r="B48">
        <v>5.24</v>
      </c>
      <c r="C48">
        <v>-4.34</v>
      </c>
      <c r="D48">
        <v>-8.01</v>
      </c>
      <c r="E48">
        <v>0.13700000000000001</v>
      </c>
      <c r="F48" s="25">
        <v>0</v>
      </c>
      <c r="G48">
        <v>0.13</v>
      </c>
      <c r="H48">
        <v>0.7</v>
      </c>
      <c r="I48">
        <v>2</v>
      </c>
      <c r="J48">
        <v>-0.3</v>
      </c>
      <c r="K48">
        <v>7.99</v>
      </c>
      <c r="L48">
        <v>6.19</v>
      </c>
      <c r="M48" s="25">
        <v>6.8400000000000002E-2</v>
      </c>
      <c r="N48" s="25">
        <v>-3.1300000000000001E-2</v>
      </c>
      <c r="O48">
        <v>1.48</v>
      </c>
      <c r="P48" s="25">
        <v>0.12130000000000001</v>
      </c>
      <c r="Q48" s="25">
        <v>1.8464</v>
      </c>
      <c r="R48" s="26">
        <v>77867600</v>
      </c>
      <c r="S48" s="26">
        <v>-650682000</v>
      </c>
      <c r="T48">
        <v>-42.2</v>
      </c>
      <c r="U48" s="25">
        <v>0.1232</v>
      </c>
    </row>
    <row r="49" spans="1:21" x14ac:dyDescent="0.25">
      <c r="A49" t="s">
        <v>6</v>
      </c>
      <c r="B49">
        <v>8.44</v>
      </c>
      <c r="C49">
        <v>7.04</v>
      </c>
      <c r="D49">
        <v>1.17</v>
      </c>
      <c r="E49">
        <v>0</v>
      </c>
      <c r="F49" s="25">
        <v>6.0900000000000003E-2</v>
      </c>
      <c r="G49">
        <v>0</v>
      </c>
      <c r="H49">
        <v>0</v>
      </c>
      <c r="I49">
        <v>0</v>
      </c>
      <c r="J49">
        <v>0</v>
      </c>
      <c r="K49">
        <v>0</v>
      </c>
      <c r="L49">
        <v>0</v>
      </c>
      <c r="M49" s="25">
        <v>0</v>
      </c>
      <c r="N49" s="25">
        <v>0</v>
      </c>
      <c r="O49">
        <v>0</v>
      </c>
      <c r="P49" s="25">
        <v>0</v>
      </c>
      <c r="Q49" s="25">
        <v>0.16669999999999999</v>
      </c>
      <c r="R49" s="26">
        <v>98346.4</v>
      </c>
      <c r="S49" s="26">
        <v>2271950000</v>
      </c>
      <c r="T49">
        <v>0</v>
      </c>
      <c r="U49" s="25">
        <v>0.13350000000000001</v>
      </c>
    </row>
    <row r="50" spans="1:21" x14ac:dyDescent="0.25">
      <c r="A50" t="s">
        <v>23</v>
      </c>
      <c r="B50">
        <v>8.3699999999999992</v>
      </c>
      <c r="C50">
        <v>6.98</v>
      </c>
      <c r="D50">
        <v>1.1599999999999999</v>
      </c>
      <c r="E50">
        <v>0</v>
      </c>
      <c r="F50" s="25">
        <v>6.1400000000000003E-2</v>
      </c>
      <c r="G50">
        <v>0</v>
      </c>
      <c r="H50">
        <v>0</v>
      </c>
      <c r="I50">
        <v>0</v>
      </c>
      <c r="J50">
        <v>0</v>
      </c>
      <c r="K50">
        <v>0</v>
      </c>
      <c r="L50">
        <v>0</v>
      </c>
      <c r="M50" s="25">
        <v>0</v>
      </c>
      <c r="N50" s="25">
        <v>0</v>
      </c>
      <c r="O50">
        <v>0</v>
      </c>
      <c r="P50" s="25">
        <v>0</v>
      </c>
      <c r="Q50" s="25">
        <v>0.16669999999999999</v>
      </c>
      <c r="R50" s="26">
        <v>33945.1</v>
      </c>
      <c r="S50" s="26">
        <v>2271950000</v>
      </c>
      <c r="T50">
        <v>0</v>
      </c>
      <c r="U50" s="25">
        <v>0.13350000000000001</v>
      </c>
    </row>
    <row r="51" spans="1:21" x14ac:dyDescent="0.25">
      <c r="A51" t="s">
        <v>330</v>
      </c>
      <c r="B51">
        <v>34.99</v>
      </c>
      <c r="C51">
        <v>5.14</v>
      </c>
      <c r="D51">
        <v>0.93</v>
      </c>
      <c r="E51">
        <v>0</v>
      </c>
      <c r="F51" s="25">
        <v>0.1046</v>
      </c>
      <c r="G51">
        <v>0</v>
      </c>
      <c r="H51">
        <v>0</v>
      </c>
      <c r="I51">
        <v>0</v>
      </c>
      <c r="J51">
        <v>0</v>
      </c>
      <c r="K51">
        <v>0</v>
      </c>
      <c r="L51">
        <v>0</v>
      </c>
      <c r="M51" s="25">
        <v>0</v>
      </c>
      <c r="N51" s="25">
        <v>0</v>
      </c>
      <c r="O51">
        <v>0</v>
      </c>
      <c r="P51" s="25">
        <v>0</v>
      </c>
      <c r="Q51" s="25">
        <v>0.18110000000000001</v>
      </c>
      <c r="R51" s="26">
        <v>459.17</v>
      </c>
      <c r="S51" s="26">
        <v>810042000</v>
      </c>
      <c r="T51">
        <v>0</v>
      </c>
      <c r="U51" s="25">
        <v>2.1499999999999998E-2</v>
      </c>
    </row>
    <row r="52" spans="1:21" x14ac:dyDescent="0.25">
      <c r="A52" t="s">
        <v>331</v>
      </c>
      <c r="B52">
        <v>28</v>
      </c>
      <c r="C52">
        <v>4.1100000000000003</v>
      </c>
      <c r="D52">
        <v>0.74</v>
      </c>
      <c r="E52">
        <v>0</v>
      </c>
      <c r="F52" s="25">
        <v>0.14380000000000001</v>
      </c>
      <c r="G52">
        <v>0</v>
      </c>
      <c r="H52">
        <v>0</v>
      </c>
      <c r="I52">
        <v>0</v>
      </c>
      <c r="J52">
        <v>0</v>
      </c>
      <c r="K52">
        <v>0</v>
      </c>
      <c r="L52">
        <v>0</v>
      </c>
      <c r="M52" s="25">
        <v>0</v>
      </c>
      <c r="N52" s="25">
        <v>0</v>
      </c>
      <c r="O52">
        <v>0</v>
      </c>
      <c r="P52" s="25">
        <v>0</v>
      </c>
      <c r="Q52" s="25">
        <v>0.18110000000000001</v>
      </c>
      <c r="R52" s="26">
        <v>58065.599999999999</v>
      </c>
      <c r="S52" s="26">
        <v>810042000</v>
      </c>
      <c r="T52">
        <v>0</v>
      </c>
      <c r="U52" s="25">
        <v>2.1499999999999998E-2</v>
      </c>
    </row>
    <row r="53" spans="1:21" x14ac:dyDescent="0.25">
      <c r="A53" t="s">
        <v>332</v>
      </c>
      <c r="B53">
        <v>3.12</v>
      </c>
      <c r="C53">
        <v>-0.25</v>
      </c>
      <c r="D53">
        <v>0.14000000000000001</v>
      </c>
      <c r="E53">
        <v>1.0999999999999999E-2</v>
      </c>
      <c r="F53" s="25">
        <v>0</v>
      </c>
      <c r="G53">
        <v>8.9999999999999993E-3</v>
      </c>
      <c r="H53">
        <v>-0.06</v>
      </c>
      <c r="I53">
        <v>0.16</v>
      </c>
      <c r="J53">
        <v>-0.02</v>
      </c>
      <c r="K53">
        <v>4.75</v>
      </c>
      <c r="L53">
        <v>3.02</v>
      </c>
      <c r="M53" s="25">
        <v>6.6900000000000001E-2</v>
      </c>
      <c r="N53" s="25">
        <v>-4.2799999999999998E-2</v>
      </c>
      <c r="O53">
        <v>0.74</v>
      </c>
      <c r="P53" s="25">
        <v>7.8200000000000006E-2</v>
      </c>
      <c r="Q53" s="25">
        <v>-0.5706</v>
      </c>
      <c r="R53" s="26">
        <v>16473200</v>
      </c>
      <c r="S53" s="26">
        <v>2089000000</v>
      </c>
      <c r="T53">
        <v>4.66</v>
      </c>
      <c r="U53" s="25">
        <v>-2.52E-2</v>
      </c>
    </row>
    <row r="54" spans="1:21" x14ac:dyDescent="0.25">
      <c r="A54" t="s">
        <v>333</v>
      </c>
      <c r="B54">
        <v>3.4</v>
      </c>
      <c r="C54">
        <v>-1.23</v>
      </c>
      <c r="D54">
        <v>1.19</v>
      </c>
      <c r="E54">
        <v>0.25</v>
      </c>
      <c r="F54" s="25">
        <v>0</v>
      </c>
      <c r="G54">
        <v>0.17899999999999999</v>
      </c>
      <c r="H54">
        <v>-0.84</v>
      </c>
      <c r="I54">
        <v>48.9</v>
      </c>
      <c r="J54">
        <v>-0.26</v>
      </c>
      <c r="K54">
        <v>69.64</v>
      </c>
      <c r="L54">
        <v>7.02</v>
      </c>
      <c r="M54" s="25">
        <v>5.1000000000000004E-3</v>
      </c>
      <c r="N54" s="25">
        <v>-0.2056</v>
      </c>
      <c r="O54">
        <v>0.32</v>
      </c>
      <c r="P54" s="25">
        <v>3.8999999999999998E-3</v>
      </c>
      <c r="Q54" s="25">
        <v>-0.9677</v>
      </c>
      <c r="R54" s="26">
        <v>23483.4</v>
      </c>
      <c r="S54" s="26">
        <v>75212000</v>
      </c>
      <c r="T54">
        <v>0.72</v>
      </c>
      <c r="U54" s="25">
        <v>0.13039999999999999</v>
      </c>
    </row>
    <row r="55" spans="1:21" x14ac:dyDescent="0.25">
      <c r="A55" t="s">
        <v>334</v>
      </c>
      <c r="B55">
        <v>7.68</v>
      </c>
      <c r="C55">
        <v>-13.56</v>
      </c>
      <c r="D55">
        <v>3.88</v>
      </c>
      <c r="E55">
        <v>6.7679999999999998</v>
      </c>
      <c r="F55" s="25">
        <v>0</v>
      </c>
      <c r="G55">
        <v>2.1739999999999999</v>
      </c>
      <c r="H55" s="26">
        <v>7.04</v>
      </c>
      <c r="I55">
        <v>-14.89</v>
      </c>
      <c r="J55">
        <v>37.99</v>
      </c>
      <c r="K55">
        <v>-14.93</v>
      </c>
      <c r="L55">
        <v>-14.78</v>
      </c>
      <c r="M55" s="25">
        <v>-0.4546</v>
      </c>
      <c r="N55" s="25">
        <v>-0.499</v>
      </c>
      <c r="O55">
        <v>2.64</v>
      </c>
      <c r="P55" s="25">
        <v>-0.218</v>
      </c>
      <c r="Q55" s="25">
        <v>-0.28610000000000002</v>
      </c>
      <c r="R55" s="26">
        <v>431897</v>
      </c>
      <c r="S55" s="26">
        <v>250993000</v>
      </c>
      <c r="T55">
        <v>0.46</v>
      </c>
      <c r="U55" s="25">
        <v>0.1827</v>
      </c>
    </row>
    <row r="56" spans="1:21" x14ac:dyDescent="0.25">
      <c r="A56" t="s">
        <v>187</v>
      </c>
      <c r="B56">
        <v>12.41</v>
      </c>
      <c r="C56" s="26">
        <v>8.31</v>
      </c>
      <c r="D56">
        <v>1.01</v>
      </c>
      <c r="E56">
        <v>1.2589999999999999</v>
      </c>
      <c r="F56" s="25">
        <v>2.7199999999999998E-2</v>
      </c>
      <c r="G56">
        <v>0.64900000000000002</v>
      </c>
      <c r="H56">
        <v>1.96</v>
      </c>
      <c r="I56">
        <v>5.97</v>
      </c>
      <c r="J56">
        <v>5.52</v>
      </c>
      <c r="K56">
        <v>6.15</v>
      </c>
      <c r="L56">
        <v>5.37</v>
      </c>
      <c r="M56" s="25">
        <v>0.2109</v>
      </c>
      <c r="N56" s="25">
        <v>0.1497</v>
      </c>
      <c r="O56">
        <v>3.23</v>
      </c>
      <c r="P56" s="25">
        <v>0.13789999999999999</v>
      </c>
      <c r="Q56" s="25">
        <v>0.12180000000000001</v>
      </c>
      <c r="R56" s="26">
        <v>4351680</v>
      </c>
      <c r="S56" s="26">
        <v>2201560000</v>
      </c>
      <c r="T56">
        <v>0.23</v>
      </c>
      <c r="U56" s="25">
        <v>7.4300000000000005E-2</v>
      </c>
    </row>
    <row r="57" spans="1:21" x14ac:dyDescent="0.25">
      <c r="A57" t="s">
        <v>335</v>
      </c>
      <c r="B57">
        <v>5.14</v>
      </c>
      <c r="C57">
        <v>-5.63</v>
      </c>
      <c r="D57">
        <v>0.46</v>
      </c>
      <c r="E57">
        <v>0</v>
      </c>
      <c r="F57" s="25">
        <v>0</v>
      </c>
      <c r="G57">
        <v>0.13800000000000001</v>
      </c>
      <c r="H57">
        <v>-0.76</v>
      </c>
      <c r="I57">
        <v>-42.93</v>
      </c>
      <c r="J57">
        <v>-0.2</v>
      </c>
      <c r="K57">
        <v>-53.97</v>
      </c>
      <c r="L57">
        <v>-53.97</v>
      </c>
      <c r="M57" s="25">
        <v>0</v>
      </c>
      <c r="N57" s="25">
        <v>0</v>
      </c>
      <c r="O57">
        <v>0</v>
      </c>
      <c r="P57" s="25">
        <v>-3.3E-3</v>
      </c>
      <c r="Q57" s="25">
        <v>-8.2400000000000001E-2</v>
      </c>
      <c r="R57" s="26">
        <v>3091.81</v>
      </c>
      <c r="S57" s="26">
        <v>56569000</v>
      </c>
      <c r="T57">
        <v>0.12</v>
      </c>
      <c r="U57" s="25">
        <v>0</v>
      </c>
    </row>
    <row r="58" spans="1:21" x14ac:dyDescent="0.25">
      <c r="A58" t="s">
        <v>336</v>
      </c>
      <c r="B58">
        <v>1.52</v>
      </c>
      <c r="C58">
        <v>-1.66</v>
      </c>
      <c r="D58">
        <v>0.14000000000000001</v>
      </c>
      <c r="E58">
        <v>0</v>
      </c>
      <c r="F58" s="25">
        <v>0</v>
      </c>
      <c r="G58">
        <v>4.1000000000000002E-2</v>
      </c>
      <c r="H58">
        <v>-0.22</v>
      </c>
      <c r="I58">
        <v>-12.69</v>
      </c>
      <c r="J58">
        <v>-0.06</v>
      </c>
      <c r="K58">
        <v>-23.74</v>
      </c>
      <c r="L58">
        <v>-23.74</v>
      </c>
      <c r="M58" s="25">
        <v>0</v>
      </c>
      <c r="N58" s="25">
        <v>0</v>
      </c>
      <c r="O58">
        <v>0</v>
      </c>
      <c r="P58" s="25">
        <v>-3.3E-3</v>
      </c>
      <c r="Q58" s="25">
        <v>-8.2400000000000001E-2</v>
      </c>
      <c r="R58" s="26">
        <v>10453.200000000001</v>
      </c>
      <c r="S58" s="26">
        <v>56569000</v>
      </c>
      <c r="T58">
        <v>0.12</v>
      </c>
      <c r="U58" s="25">
        <v>0</v>
      </c>
    </row>
    <row r="59" spans="1:21" x14ac:dyDescent="0.25">
      <c r="A59" t="s">
        <v>337</v>
      </c>
      <c r="B59">
        <v>33.39</v>
      </c>
      <c r="C59">
        <v>4.2300000000000004</v>
      </c>
      <c r="D59">
        <v>1.85</v>
      </c>
      <c r="E59">
        <v>0</v>
      </c>
      <c r="F59" s="25">
        <v>6.0600000000000001E-2</v>
      </c>
      <c r="G59">
        <v>0</v>
      </c>
      <c r="H59">
        <v>0</v>
      </c>
      <c r="I59">
        <v>0</v>
      </c>
      <c r="J59">
        <v>0</v>
      </c>
      <c r="K59">
        <v>0</v>
      </c>
      <c r="L59">
        <v>0</v>
      </c>
      <c r="M59" s="25">
        <v>0</v>
      </c>
      <c r="N59" s="25">
        <v>0</v>
      </c>
      <c r="O59">
        <v>0</v>
      </c>
      <c r="P59" s="25">
        <v>0</v>
      </c>
      <c r="Q59" s="25">
        <v>0.43669999999999998</v>
      </c>
      <c r="R59" s="26">
        <v>11015.2</v>
      </c>
      <c r="S59" s="26">
        <v>1894930000</v>
      </c>
      <c r="T59">
        <v>0</v>
      </c>
      <c r="U59" s="25">
        <v>0.2278</v>
      </c>
    </row>
    <row r="60" spans="1:21" x14ac:dyDescent="0.25">
      <c r="A60" t="s">
        <v>92</v>
      </c>
      <c r="B60">
        <v>39.5</v>
      </c>
      <c r="C60">
        <v>5</v>
      </c>
      <c r="D60">
        <v>2.19</v>
      </c>
      <c r="E60">
        <v>0</v>
      </c>
      <c r="F60" s="25">
        <v>5.6399999999999999E-2</v>
      </c>
      <c r="G60">
        <v>0</v>
      </c>
      <c r="H60">
        <v>0</v>
      </c>
      <c r="I60">
        <v>0</v>
      </c>
      <c r="J60">
        <v>0</v>
      </c>
      <c r="K60">
        <v>0</v>
      </c>
      <c r="L60">
        <v>0</v>
      </c>
      <c r="M60" s="25">
        <v>0</v>
      </c>
      <c r="N60" s="25">
        <v>0</v>
      </c>
      <c r="O60">
        <v>0</v>
      </c>
      <c r="P60" s="25">
        <v>0</v>
      </c>
      <c r="Q60" s="25">
        <v>0.43669999999999998</v>
      </c>
      <c r="R60" s="26">
        <v>415998</v>
      </c>
      <c r="S60" s="26">
        <v>1894930000</v>
      </c>
      <c r="T60">
        <v>0</v>
      </c>
      <c r="U60" s="25">
        <v>0.2278</v>
      </c>
    </row>
    <row r="61" spans="1:21" x14ac:dyDescent="0.25">
      <c r="A61" t="s">
        <v>46</v>
      </c>
      <c r="B61">
        <v>3.67</v>
      </c>
      <c r="C61">
        <v>4.8600000000000003</v>
      </c>
      <c r="D61">
        <v>0.59</v>
      </c>
      <c r="E61">
        <v>0</v>
      </c>
      <c r="F61" s="25">
        <v>8.2299999999999998E-2</v>
      </c>
      <c r="G61">
        <v>0</v>
      </c>
      <c r="H61">
        <v>0</v>
      </c>
      <c r="I61">
        <v>0</v>
      </c>
      <c r="J61">
        <v>0</v>
      </c>
      <c r="K61">
        <v>0</v>
      </c>
      <c r="L61">
        <v>0</v>
      </c>
      <c r="M61" s="25">
        <v>0</v>
      </c>
      <c r="N61" s="25">
        <v>0</v>
      </c>
      <c r="O61">
        <v>0</v>
      </c>
      <c r="P61" s="25">
        <v>0</v>
      </c>
      <c r="Q61" s="25">
        <v>0.1207</v>
      </c>
      <c r="R61" s="26">
        <v>1788480</v>
      </c>
      <c r="S61" s="26">
        <v>3648070000</v>
      </c>
      <c r="T61">
        <v>0</v>
      </c>
      <c r="U61" s="25">
        <v>-4.4499999999999998E-2</v>
      </c>
    </row>
    <row r="62" spans="1:21" x14ac:dyDescent="0.25">
      <c r="A62" t="s">
        <v>338</v>
      </c>
      <c r="B62">
        <v>20</v>
      </c>
      <c r="C62">
        <v>11.63</v>
      </c>
      <c r="D62">
        <v>0.69</v>
      </c>
      <c r="E62">
        <v>0</v>
      </c>
      <c r="F62" s="25">
        <v>1.77E-2</v>
      </c>
      <c r="G62">
        <v>0</v>
      </c>
      <c r="H62">
        <v>0</v>
      </c>
      <c r="I62">
        <v>0</v>
      </c>
      <c r="J62">
        <v>0</v>
      </c>
      <c r="K62">
        <v>0</v>
      </c>
      <c r="L62">
        <v>0</v>
      </c>
      <c r="M62" s="25">
        <v>0</v>
      </c>
      <c r="N62" s="25">
        <v>0</v>
      </c>
      <c r="O62">
        <v>0</v>
      </c>
      <c r="P62" s="25">
        <v>0</v>
      </c>
      <c r="Q62" s="25">
        <v>5.9400000000000001E-2</v>
      </c>
      <c r="R62" s="26">
        <v>93.55</v>
      </c>
      <c r="S62" s="26">
        <v>139754000</v>
      </c>
      <c r="T62">
        <v>0</v>
      </c>
      <c r="U62" s="25">
        <v>0.17380000000000001</v>
      </c>
    </row>
    <row r="63" spans="1:21" x14ac:dyDescent="0.25">
      <c r="A63" t="s">
        <v>339</v>
      </c>
      <c r="B63">
        <v>16.8</v>
      </c>
      <c r="C63">
        <v>9.77</v>
      </c>
      <c r="D63">
        <v>0.57999999999999996</v>
      </c>
      <c r="E63">
        <v>0</v>
      </c>
      <c r="F63" s="25">
        <v>8.3299999999999999E-2</v>
      </c>
      <c r="G63">
        <v>0</v>
      </c>
      <c r="H63">
        <v>0</v>
      </c>
      <c r="I63">
        <v>0</v>
      </c>
      <c r="J63">
        <v>0</v>
      </c>
      <c r="K63">
        <v>0</v>
      </c>
      <c r="L63">
        <v>0</v>
      </c>
      <c r="M63" s="25">
        <v>0</v>
      </c>
      <c r="N63" s="25">
        <v>0</v>
      </c>
      <c r="O63">
        <v>0</v>
      </c>
      <c r="P63" s="25">
        <v>0</v>
      </c>
      <c r="Q63" s="25">
        <v>5.9400000000000001E-2</v>
      </c>
      <c r="R63" s="26">
        <v>683.19</v>
      </c>
      <c r="S63" s="26">
        <v>139754000</v>
      </c>
      <c r="T63">
        <v>0</v>
      </c>
      <c r="U63" s="25">
        <v>0.17380000000000001</v>
      </c>
    </row>
    <row r="64" spans="1:21" x14ac:dyDescent="0.25">
      <c r="A64" t="s">
        <v>340</v>
      </c>
      <c r="B64">
        <v>379.01</v>
      </c>
      <c r="C64">
        <v>11.44</v>
      </c>
      <c r="D64">
        <v>0.83</v>
      </c>
      <c r="E64">
        <v>11.009</v>
      </c>
      <c r="F64" s="25">
        <v>8.7400000000000005E-2</v>
      </c>
      <c r="G64">
        <v>0.72599999999999998</v>
      </c>
      <c r="H64">
        <v>0.99</v>
      </c>
      <c r="I64">
        <v>-34.1</v>
      </c>
      <c r="J64">
        <v>1.1399999999999999</v>
      </c>
      <c r="K64">
        <v>-1.69</v>
      </c>
      <c r="L64">
        <v>-1.73</v>
      </c>
      <c r="M64" s="25">
        <v>-0.32279999999999998</v>
      </c>
      <c r="N64" s="25">
        <v>0.96220000000000006</v>
      </c>
      <c r="O64">
        <v>20.54</v>
      </c>
      <c r="P64" s="25">
        <v>-7.3800000000000004E-2</v>
      </c>
      <c r="Q64" s="25">
        <v>7.2900000000000006E-2</v>
      </c>
      <c r="R64" s="26">
        <v>27238.2</v>
      </c>
      <c r="S64" s="26">
        <v>206593000</v>
      </c>
      <c r="T64">
        <v>0.02</v>
      </c>
      <c r="U64" s="25">
        <v>-8.5099999999999995E-2</v>
      </c>
    </row>
    <row r="65" spans="1:21" x14ac:dyDescent="0.25">
      <c r="A65" t="s">
        <v>25</v>
      </c>
      <c r="B65">
        <v>21.12</v>
      </c>
      <c r="C65">
        <v>14.04</v>
      </c>
      <c r="D65">
        <v>1.55</v>
      </c>
      <c r="E65">
        <v>1.179</v>
      </c>
      <c r="F65" s="25">
        <v>6.3399999999999998E-2</v>
      </c>
      <c r="G65">
        <v>1.111</v>
      </c>
      <c r="H65">
        <v>2.69</v>
      </c>
      <c r="I65">
        <v>14.65</v>
      </c>
      <c r="J65">
        <v>2.92</v>
      </c>
      <c r="K65">
        <v>10.43</v>
      </c>
      <c r="L65">
        <v>6.73</v>
      </c>
      <c r="M65" s="25">
        <v>8.0500000000000002E-2</v>
      </c>
      <c r="N65" s="25">
        <v>8.4500000000000006E-2</v>
      </c>
      <c r="O65">
        <v>2.65</v>
      </c>
      <c r="P65" s="25">
        <v>0.12670000000000001</v>
      </c>
      <c r="Q65" s="25">
        <v>0.11070000000000001</v>
      </c>
      <c r="R65" s="26">
        <v>8427640</v>
      </c>
      <c r="S65" s="26">
        <v>1163230000</v>
      </c>
      <c r="T65">
        <v>0</v>
      </c>
      <c r="U65" s="25">
        <v>0.58779999999999999</v>
      </c>
    </row>
    <row r="66" spans="1:21" x14ac:dyDescent="0.25">
      <c r="A66" t="s">
        <v>341</v>
      </c>
      <c r="B66">
        <v>92.1</v>
      </c>
      <c r="C66">
        <v>4.16</v>
      </c>
      <c r="D66">
        <v>0.64</v>
      </c>
      <c r="E66">
        <v>0</v>
      </c>
      <c r="F66" s="25">
        <v>6.2E-2</v>
      </c>
      <c r="G66">
        <v>0</v>
      </c>
      <c r="H66">
        <v>0</v>
      </c>
      <c r="I66">
        <v>0</v>
      </c>
      <c r="J66">
        <v>0</v>
      </c>
      <c r="K66">
        <v>0</v>
      </c>
      <c r="L66">
        <v>0</v>
      </c>
      <c r="M66" s="25">
        <v>0</v>
      </c>
      <c r="N66" s="25">
        <v>0</v>
      </c>
      <c r="O66">
        <v>0</v>
      </c>
      <c r="P66" s="25">
        <v>0</v>
      </c>
      <c r="Q66" s="25">
        <v>0.1547</v>
      </c>
      <c r="R66" s="26">
        <v>18160.3</v>
      </c>
      <c r="S66" s="26">
        <v>14115100000</v>
      </c>
      <c r="T66">
        <v>0</v>
      </c>
      <c r="U66" s="25">
        <v>0.1033</v>
      </c>
    </row>
    <row r="67" spans="1:21" x14ac:dyDescent="0.25">
      <c r="A67" t="s">
        <v>185</v>
      </c>
      <c r="B67">
        <v>1.4</v>
      </c>
      <c r="C67">
        <v>5</v>
      </c>
      <c r="D67">
        <v>386.35</v>
      </c>
      <c r="E67">
        <v>0.23699999999999999</v>
      </c>
      <c r="F67" s="25">
        <v>0</v>
      </c>
      <c r="G67">
        <v>0.39600000000000002</v>
      </c>
      <c r="H67">
        <v>-21.6</v>
      </c>
      <c r="I67">
        <v>1.79</v>
      </c>
      <c r="J67">
        <v>-0.86</v>
      </c>
      <c r="K67">
        <v>3.07</v>
      </c>
      <c r="L67">
        <v>2.71</v>
      </c>
      <c r="M67" s="25">
        <v>0.13239999999999999</v>
      </c>
      <c r="N67" s="25">
        <v>4.7300000000000002E-2</v>
      </c>
      <c r="O67">
        <v>0.97</v>
      </c>
      <c r="P67" s="25">
        <v>0.33329999999999999</v>
      </c>
      <c r="Q67" s="25">
        <v>77.215000000000003</v>
      </c>
      <c r="R67" s="26">
        <v>15428.7</v>
      </c>
      <c r="S67" s="26">
        <v>944000</v>
      </c>
      <c r="T67">
        <v>400.27</v>
      </c>
      <c r="U67" s="25">
        <v>0.1055</v>
      </c>
    </row>
    <row r="68" spans="1:21" x14ac:dyDescent="0.25">
      <c r="A68" t="s">
        <v>342</v>
      </c>
      <c r="B68">
        <v>40.39</v>
      </c>
      <c r="C68">
        <v>12.67</v>
      </c>
      <c r="D68">
        <v>2.59</v>
      </c>
      <c r="E68">
        <v>0</v>
      </c>
      <c r="F68" s="25">
        <v>1.12E-2</v>
      </c>
      <c r="G68">
        <v>0</v>
      </c>
      <c r="H68">
        <v>0</v>
      </c>
      <c r="I68">
        <v>0</v>
      </c>
      <c r="J68">
        <v>0</v>
      </c>
      <c r="K68">
        <v>0</v>
      </c>
      <c r="L68">
        <v>0</v>
      </c>
      <c r="M68" s="25">
        <v>0</v>
      </c>
      <c r="N68" s="25">
        <v>0</v>
      </c>
      <c r="O68">
        <v>0</v>
      </c>
      <c r="P68" s="25">
        <v>0</v>
      </c>
      <c r="Q68" s="25">
        <v>0.20449999999999999</v>
      </c>
      <c r="R68" s="26">
        <v>315860000</v>
      </c>
      <c r="S68" s="26">
        <v>59778600000</v>
      </c>
      <c r="T68">
        <v>0</v>
      </c>
      <c r="U68" s="25">
        <v>0.31590000000000001</v>
      </c>
    </row>
    <row r="69" spans="1:21" x14ac:dyDescent="0.25">
      <c r="A69" t="s">
        <v>141</v>
      </c>
      <c r="B69">
        <v>22.17</v>
      </c>
      <c r="C69">
        <v>20.87</v>
      </c>
      <c r="D69">
        <v>4.2699999999999996</v>
      </c>
      <c r="E69">
        <v>0</v>
      </c>
      <c r="F69" s="25">
        <v>6.7999999999999996E-3</v>
      </c>
      <c r="G69">
        <v>0</v>
      </c>
      <c r="H69">
        <v>0</v>
      </c>
      <c r="I69">
        <v>0</v>
      </c>
      <c r="J69">
        <v>0</v>
      </c>
      <c r="K69">
        <v>0</v>
      </c>
      <c r="L69">
        <v>0</v>
      </c>
      <c r="M69" s="25">
        <v>0</v>
      </c>
      <c r="N69" s="25">
        <v>0</v>
      </c>
      <c r="O69">
        <v>0</v>
      </c>
      <c r="P69" s="25">
        <v>0</v>
      </c>
      <c r="Q69" s="25">
        <v>0.20449999999999999</v>
      </c>
      <c r="R69" s="26">
        <v>62804.3</v>
      </c>
      <c r="S69" s="26">
        <v>59778600000</v>
      </c>
      <c r="T69">
        <v>0</v>
      </c>
      <c r="U69" s="25">
        <v>0.31590000000000001</v>
      </c>
    </row>
    <row r="70" spans="1:21" x14ac:dyDescent="0.25">
      <c r="A70" t="s">
        <v>148</v>
      </c>
      <c r="B70">
        <v>8.9600000000000009</v>
      </c>
      <c r="C70">
        <v>8.43</v>
      </c>
      <c r="D70">
        <v>1.72</v>
      </c>
      <c r="E70">
        <v>0</v>
      </c>
      <c r="F70" s="25">
        <v>1.6799999999999999E-2</v>
      </c>
      <c r="G70">
        <v>0</v>
      </c>
      <c r="H70">
        <v>0</v>
      </c>
      <c r="I70">
        <v>0</v>
      </c>
      <c r="J70">
        <v>0</v>
      </c>
      <c r="K70">
        <v>0</v>
      </c>
      <c r="L70">
        <v>0</v>
      </c>
      <c r="M70" s="25">
        <v>0</v>
      </c>
      <c r="N70" s="25">
        <v>0</v>
      </c>
      <c r="O70">
        <v>0</v>
      </c>
      <c r="P70" s="25">
        <v>0</v>
      </c>
      <c r="Q70" s="25">
        <v>0.20449999999999999</v>
      </c>
      <c r="R70" s="26">
        <v>30926.799999999999</v>
      </c>
      <c r="S70" s="26">
        <v>59778600000</v>
      </c>
      <c r="T70">
        <v>0</v>
      </c>
      <c r="U70" s="25">
        <v>0.31590000000000001</v>
      </c>
    </row>
    <row r="71" spans="1:21" x14ac:dyDescent="0.25">
      <c r="A71" t="s">
        <v>76</v>
      </c>
      <c r="B71">
        <v>7.81</v>
      </c>
      <c r="C71">
        <v>12.65</v>
      </c>
      <c r="D71">
        <v>1.31</v>
      </c>
      <c r="E71">
        <v>0</v>
      </c>
      <c r="F71" s="25">
        <v>3.09E-2</v>
      </c>
      <c r="G71">
        <v>0</v>
      </c>
      <c r="H71">
        <v>0</v>
      </c>
      <c r="I71">
        <v>0</v>
      </c>
      <c r="J71">
        <v>0</v>
      </c>
      <c r="K71">
        <v>0</v>
      </c>
      <c r="L71">
        <v>0</v>
      </c>
      <c r="M71" s="25">
        <v>0</v>
      </c>
      <c r="N71" s="25">
        <v>0</v>
      </c>
      <c r="O71">
        <v>0</v>
      </c>
      <c r="P71" s="25">
        <v>0</v>
      </c>
      <c r="Q71" s="25">
        <v>0.10340000000000001</v>
      </c>
      <c r="R71" s="26">
        <v>13331500</v>
      </c>
      <c r="S71" s="26">
        <v>7575030000</v>
      </c>
      <c r="T71">
        <v>0</v>
      </c>
      <c r="U71" s="25">
        <v>3.8699999999999998E-2</v>
      </c>
    </row>
    <row r="72" spans="1:21" x14ac:dyDescent="0.25">
      <c r="A72" t="s">
        <v>28</v>
      </c>
      <c r="B72">
        <v>15.41</v>
      </c>
      <c r="C72">
        <v>5.19</v>
      </c>
      <c r="D72">
        <v>0.7</v>
      </c>
      <c r="E72">
        <v>0</v>
      </c>
      <c r="F72" s="25">
        <v>0.1197</v>
      </c>
      <c r="G72">
        <v>0.68899999999999995</v>
      </c>
      <c r="H72">
        <v>10.27</v>
      </c>
      <c r="I72">
        <v>-203.85</v>
      </c>
      <c r="J72">
        <v>10.35</v>
      </c>
      <c r="K72">
        <v>-179.92</v>
      </c>
      <c r="L72">
        <v>-179.92</v>
      </c>
      <c r="M72" s="25">
        <v>0</v>
      </c>
      <c r="N72" s="25">
        <v>0</v>
      </c>
      <c r="O72">
        <v>5.83</v>
      </c>
      <c r="P72" s="25">
        <v>-3.7000000000000002E-3</v>
      </c>
      <c r="Q72" s="25">
        <v>0.13469999999999999</v>
      </c>
      <c r="R72" s="26">
        <v>861294</v>
      </c>
      <c r="S72" s="26">
        <v>8667970000</v>
      </c>
      <c r="T72">
        <v>0</v>
      </c>
      <c r="U72" s="25">
        <v>0</v>
      </c>
    </row>
    <row r="73" spans="1:21" x14ac:dyDescent="0.25">
      <c r="A73" t="s">
        <v>127</v>
      </c>
      <c r="B73">
        <v>16.98</v>
      </c>
      <c r="C73">
        <v>5.72</v>
      </c>
      <c r="D73">
        <v>0.77</v>
      </c>
      <c r="E73">
        <v>0</v>
      </c>
      <c r="F73" s="25">
        <v>0.1195</v>
      </c>
      <c r="G73">
        <v>0.75900000000000001</v>
      </c>
      <c r="H73">
        <v>11.32</v>
      </c>
      <c r="I73">
        <v>-224.62</v>
      </c>
      <c r="J73">
        <v>11.4</v>
      </c>
      <c r="K73">
        <v>-200.69</v>
      </c>
      <c r="L73">
        <v>-200.69</v>
      </c>
      <c r="M73" s="25">
        <v>0</v>
      </c>
      <c r="N73" s="25">
        <v>0</v>
      </c>
      <c r="O73">
        <v>5.83</v>
      </c>
      <c r="P73" s="25">
        <v>-3.7000000000000002E-3</v>
      </c>
      <c r="Q73" s="25">
        <v>0.13469999999999999</v>
      </c>
      <c r="R73" s="26">
        <v>62255700</v>
      </c>
      <c r="S73" s="26">
        <v>8667970000</v>
      </c>
      <c r="T73">
        <v>0</v>
      </c>
      <c r="U73" s="25">
        <v>0</v>
      </c>
    </row>
    <row r="74" spans="1:21" x14ac:dyDescent="0.25">
      <c r="A74" t="s">
        <v>61</v>
      </c>
      <c r="B74">
        <v>19.18</v>
      </c>
      <c r="C74">
        <v>57.4</v>
      </c>
      <c r="D74">
        <v>0.8</v>
      </c>
      <c r="E74">
        <v>0.92800000000000005</v>
      </c>
      <c r="F74" s="25">
        <v>0</v>
      </c>
      <c r="G74">
        <v>0.20599999999999999</v>
      </c>
      <c r="H74">
        <v>4.3</v>
      </c>
      <c r="I74">
        <v>4.5999999999999996</v>
      </c>
      <c r="J74">
        <v>-0.36</v>
      </c>
      <c r="K74">
        <v>11.49</v>
      </c>
      <c r="L74">
        <v>6.49</v>
      </c>
      <c r="M74" s="25">
        <v>0.20169999999999999</v>
      </c>
      <c r="N74" s="25">
        <v>1.5599999999999999E-2</v>
      </c>
      <c r="O74">
        <v>1.4</v>
      </c>
      <c r="P74" s="25">
        <v>5.3100000000000001E-2</v>
      </c>
      <c r="Q74" s="25">
        <v>1.3899999999999999E-2</v>
      </c>
      <c r="R74" s="26">
        <v>152608000</v>
      </c>
      <c r="S74" s="26">
        <v>11151200000</v>
      </c>
      <c r="T74">
        <v>1.59</v>
      </c>
      <c r="U74" s="25">
        <v>1.2646999999999999</v>
      </c>
    </row>
    <row r="75" spans="1:21" x14ac:dyDescent="0.25">
      <c r="A75" t="s">
        <v>343</v>
      </c>
      <c r="B75">
        <v>16</v>
      </c>
      <c r="C75">
        <v>8.9700000000000006</v>
      </c>
      <c r="D75">
        <v>2.11</v>
      </c>
      <c r="E75">
        <v>4.5780000000000003</v>
      </c>
      <c r="F75" s="25">
        <v>0.12559999999999999</v>
      </c>
      <c r="G75">
        <v>0.109</v>
      </c>
      <c r="H75">
        <v>2.65</v>
      </c>
      <c r="I75">
        <v>79</v>
      </c>
      <c r="J75">
        <v>2.65</v>
      </c>
      <c r="K75">
        <v>25.55</v>
      </c>
      <c r="L75">
        <v>17.79</v>
      </c>
      <c r="M75" s="25">
        <v>5.8000000000000003E-2</v>
      </c>
      <c r="N75" s="25">
        <v>0.51049999999999995</v>
      </c>
      <c r="O75">
        <v>1.04</v>
      </c>
      <c r="P75" s="25">
        <v>0.1241</v>
      </c>
      <c r="Q75" s="25">
        <v>0.23530000000000001</v>
      </c>
      <c r="R75" s="26">
        <v>3503450</v>
      </c>
      <c r="S75" s="26">
        <v>796079000</v>
      </c>
      <c r="T75">
        <v>17.75</v>
      </c>
      <c r="U75" s="25">
        <v>-0.2029</v>
      </c>
    </row>
    <row r="76" spans="1:21" x14ac:dyDescent="0.25">
      <c r="A76" t="s">
        <v>135</v>
      </c>
      <c r="B76">
        <v>21.75</v>
      </c>
      <c r="C76">
        <v>9.5500000000000007</v>
      </c>
      <c r="D76">
        <v>2.2799999999999998</v>
      </c>
      <c r="E76">
        <v>0.57599999999999996</v>
      </c>
      <c r="F76" s="25">
        <v>3.2399999999999998E-2</v>
      </c>
      <c r="G76">
        <v>0.58199999999999996</v>
      </c>
      <c r="H76">
        <v>3.7</v>
      </c>
      <c r="I76">
        <v>4.92</v>
      </c>
      <c r="J76">
        <v>-2.6</v>
      </c>
      <c r="K76">
        <v>5.85</v>
      </c>
      <c r="L76">
        <v>3.98</v>
      </c>
      <c r="M76" s="25">
        <v>0.1171</v>
      </c>
      <c r="N76" s="25">
        <v>6.7400000000000002E-2</v>
      </c>
      <c r="O76">
        <v>1.46</v>
      </c>
      <c r="P76" s="25">
        <v>0.21329999999999999</v>
      </c>
      <c r="Q76" s="25">
        <v>0.2389</v>
      </c>
      <c r="R76" s="26">
        <v>225212000</v>
      </c>
      <c r="S76" s="26">
        <v>16044400000</v>
      </c>
      <c r="T76">
        <v>1.24</v>
      </c>
      <c r="U76" s="25">
        <v>9.9400000000000002E-2</v>
      </c>
    </row>
    <row r="77" spans="1:21" x14ac:dyDescent="0.25">
      <c r="A77" t="s">
        <v>247</v>
      </c>
      <c r="B77">
        <v>9.14</v>
      </c>
      <c r="C77">
        <v>-0.79</v>
      </c>
      <c r="D77">
        <v>-1.72</v>
      </c>
      <c r="E77">
        <v>9.1999999999999998E-2</v>
      </c>
      <c r="F77" s="25">
        <v>0</v>
      </c>
      <c r="G77">
        <v>7.5999999999999998E-2</v>
      </c>
      <c r="H77">
        <v>0.89</v>
      </c>
      <c r="I77">
        <v>7.99</v>
      </c>
      <c r="J77">
        <v>-0.11</v>
      </c>
      <c r="K77">
        <v>47.59</v>
      </c>
      <c r="L77">
        <v>7.45</v>
      </c>
      <c r="M77" s="25">
        <v>1.1599999999999999E-2</v>
      </c>
      <c r="N77" s="25">
        <v>-0.127</v>
      </c>
      <c r="O77">
        <v>1.32</v>
      </c>
      <c r="P77" s="25">
        <v>1.37E-2</v>
      </c>
      <c r="Q77" s="25">
        <v>2.19</v>
      </c>
      <c r="R77" s="26">
        <v>309235</v>
      </c>
      <c r="S77" s="26">
        <v>-4236000000</v>
      </c>
      <c r="T77">
        <v>-11.6</v>
      </c>
      <c r="U77" s="25">
        <v>-1.7999999999999999E-2</v>
      </c>
    </row>
    <row r="78" spans="1:21" x14ac:dyDescent="0.25">
      <c r="A78" t="s">
        <v>344</v>
      </c>
      <c r="B78">
        <v>9.01</v>
      </c>
      <c r="C78">
        <v>-0.77</v>
      </c>
      <c r="D78">
        <v>-1.7</v>
      </c>
      <c r="E78">
        <v>9.0999999999999998E-2</v>
      </c>
      <c r="F78" s="25">
        <v>0</v>
      </c>
      <c r="G78">
        <v>7.4999999999999997E-2</v>
      </c>
      <c r="H78">
        <v>0.88</v>
      </c>
      <c r="I78">
        <v>7.88</v>
      </c>
      <c r="J78">
        <v>-0.11</v>
      </c>
      <c r="K78">
        <v>47.47</v>
      </c>
      <c r="L78">
        <v>7.43</v>
      </c>
      <c r="M78" s="25">
        <v>1.1599999999999999E-2</v>
      </c>
      <c r="N78" s="25">
        <v>-0.127</v>
      </c>
      <c r="O78">
        <v>1.32</v>
      </c>
      <c r="P78" s="25">
        <v>1.37E-2</v>
      </c>
      <c r="Q78" s="25">
        <v>2.19</v>
      </c>
      <c r="R78" s="26">
        <v>43115400</v>
      </c>
      <c r="S78" s="26">
        <v>-4236000000</v>
      </c>
      <c r="T78">
        <v>-11.6</v>
      </c>
      <c r="U78" s="25">
        <v>-1.7999999999999999E-2</v>
      </c>
    </row>
    <row r="79" spans="1:21" x14ac:dyDescent="0.25">
      <c r="A79" t="s">
        <v>345</v>
      </c>
      <c r="B79">
        <v>8.6</v>
      </c>
      <c r="C79">
        <v>-0.74</v>
      </c>
      <c r="D79">
        <v>-1.62</v>
      </c>
      <c r="E79">
        <v>8.6999999999999994E-2</v>
      </c>
      <c r="F79" s="25">
        <v>0</v>
      </c>
      <c r="G79">
        <v>7.1999999999999995E-2</v>
      </c>
      <c r="H79">
        <v>0.84</v>
      </c>
      <c r="I79">
        <v>7.52</v>
      </c>
      <c r="J79">
        <v>-0.11</v>
      </c>
      <c r="K79">
        <v>47.11</v>
      </c>
      <c r="L79">
        <v>7.38</v>
      </c>
      <c r="M79" s="25">
        <v>1.1599999999999999E-2</v>
      </c>
      <c r="N79" s="25">
        <v>-0.127</v>
      </c>
      <c r="O79">
        <v>1.32</v>
      </c>
      <c r="P79" s="25">
        <v>1.37E-2</v>
      </c>
      <c r="Q79" s="25">
        <v>2.19</v>
      </c>
      <c r="R79" s="26">
        <v>1274.05</v>
      </c>
      <c r="S79" s="26">
        <v>-4236000000</v>
      </c>
      <c r="T79">
        <v>-11.6</v>
      </c>
      <c r="U79" s="25">
        <v>-1.7999999999999999E-2</v>
      </c>
    </row>
    <row r="80" spans="1:21" x14ac:dyDescent="0.25">
      <c r="A80" t="s">
        <v>346</v>
      </c>
      <c r="B80">
        <v>11.62</v>
      </c>
      <c r="C80">
        <v>4.9000000000000004</v>
      </c>
      <c r="D80">
        <v>0.46</v>
      </c>
      <c r="E80">
        <v>0</v>
      </c>
      <c r="F80" s="25">
        <v>9.4200000000000006E-2</v>
      </c>
      <c r="G80">
        <v>0</v>
      </c>
      <c r="H80">
        <v>0</v>
      </c>
      <c r="I80">
        <v>0</v>
      </c>
      <c r="J80">
        <v>0</v>
      </c>
      <c r="K80">
        <v>0</v>
      </c>
      <c r="L80">
        <v>0</v>
      </c>
      <c r="M80" s="25">
        <v>0</v>
      </c>
      <c r="N80" s="25">
        <v>0</v>
      </c>
      <c r="O80">
        <v>0</v>
      </c>
      <c r="P80" s="25">
        <v>0</v>
      </c>
      <c r="Q80" s="25">
        <v>9.3100000000000002E-2</v>
      </c>
      <c r="R80" s="26">
        <v>48387.8</v>
      </c>
      <c r="S80" s="26">
        <v>10409200000</v>
      </c>
      <c r="T80">
        <v>0</v>
      </c>
      <c r="U80" s="25">
        <v>4.7E-2</v>
      </c>
    </row>
    <row r="81" spans="1:21" x14ac:dyDescent="0.25">
      <c r="A81" t="s">
        <v>347</v>
      </c>
      <c r="B81">
        <v>15.6</v>
      </c>
      <c r="C81">
        <v>6.58</v>
      </c>
      <c r="D81">
        <v>0.61</v>
      </c>
      <c r="E81">
        <v>0</v>
      </c>
      <c r="F81" s="25">
        <v>8.7800000000000003E-2</v>
      </c>
      <c r="G81">
        <v>0</v>
      </c>
      <c r="H81" s="26">
        <v>0</v>
      </c>
      <c r="I81">
        <v>0</v>
      </c>
      <c r="J81">
        <v>0</v>
      </c>
      <c r="K81">
        <v>0</v>
      </c>
      <c r="L81">
        <v>0</v>
      </c>
      <c r="M81" s="25">
        <v>0</v>
      </c>
      <c r="N81" s="25">
        <v>0</v>
      </c>
      <c r="O81">
        <v>0</v>
      </c>
      <c r="P81" s="25">
        <v>0</v>
      </c>
      <c r="Q81" s="25">
        <v>9.3100000000000002E-2</v>
      </c>
      <c r="R81" s="26">
        <v>424.07</v>
      </c>
      <c r="S81" s="26">
        <v>10409200000</v>
      </c>
      <c r="T81">
        <v>0</v>
      </c>
      <c r="U81" s="25">
        <v>4.7E-2</v>
      </c>
    </row>
    <row r="82" spans="1:21" x14ac:dyDescent="0.25">
      <c r="A82" t="s">
        <v>37</v>
      </c>
      <c r="B82">
        <v>10.88</v>
      </c>
      <c r="C82">
        <v>4.59</v>
      </c>
      <c r="D82">
        <v>0.43</v>
      </c>
      <c r="E82">
        <v>0</v>
      </c>
      <c r="F82" s="25">
        <v>0.10059999999999999</v>
      </c>
      <c r="G82">
        <v>0</v>
      </c>
      <c r="H82">
        <v>0</v>
      </c>
      <c r="I82">
        <v>0</v>
      </c>
      <c r="J82">
        <v>0</v>
      </c>
      <c r="K82">
        <v>0</v>
      </c>
      <c r="L82">
        <v>0</v>
      </c>
      <c r="M82" s="25">
        <v>0</v>
      </c>
      <c r="N82" s="25">
        <v>0</v>
      </c>
      <c r="O82">
        <v>0</v>
      </c>
      <c r="P82" s="25">
        <v>0</v>
      </c>
      <c r="Q82" s="25">
        <v>9.3100000000000002E-2</v>
      </c>
      <c r="R82" s="26">
        <v>13194100</v>
      </c>
      <c r="S82" s="26">
        <v>10409200000</v>
      </c>
      <c r="T82">
        <v>0</v>
      </c>
      <c r="U82" s="25">
        <v>4.7E-2</v>
      </c>
    </row>
    <row r="83" spans="1:21" x14ac:dyDescent="0.25">
      <c r="A83" t="s">
        <v>348</v>
      </c>
      <c r="B83">
        <v>2.64</v>
      </c>
      <c r="C83">
        <v>19.190000000000001</v>
      </c>
      <c r="D83">
        <v>0.75</v>
      </c>
      <c r="E83">
        <v>0.77900000000000003</v>
      </c>
      <c r="F83" s="25">
        <v>1.5599999999999999E-2</v>
      </c>
      <c r="G83">
        <v>0.28199999999999997</v>
      </c>
      <c r="H83">
        <v>-8.51</v>
      </c>
      <c r="I83">
        <v>6.05</v>
      </c>
      <c r="J83">
        <v>-0.63</v>
      </c>
      <c r="K83">
        <v>13.52</v>
      </c>
      <c r="L83">
        <v>4.1100000000000003</v>
      </c>
      <c r="M83" s="25">
        <v>0.1288</v>
      </c>
      <c r="N83" s="25">
        <v>4.0599999999999997E-2</v>
      </c>
      <c r="O83">
        <v>0.84</v>
      </c>
      <c r="P83" s="25">
        <v>5.6599999999999998E-2</v>
      </c>
      <c r="Q83" s="25">
        <v>3.9199999999999999E-2</v>
      </c>
      <c r="R83" s="26">
        <v>621350</v>
      </c>
      <c r="S83" s="26">
        <v>1537560000</v>
      </c>
      <c r="T83">
        <v>1.23</v>
      </c>
      <c r="U83" s="25">
        <v>0</v>
      </c>
    </row>
    <row r="84" spans="1:21" x14ac:dyDescent="0.25">
      <c r="A84" t="s">
        <v>349</v>
      </c>
      <c r="B84">
        <v>8.4</v>
      </c>
      <c r="C84">
        <v>8.58</v>
      </c>
      <c r="D84">
        <v>1.06</v>
      </c>
      <c r="E84">
        <v>0</v>
      </c>
      <c r="F84" s="25">
        <v>0.4506</v>
      </c>
      <c r="G84">
        <v>0</v>
      </c>
      <c r="H84">
        <v>0</v>
      </c>
      <c r="I84">
        <v>0</v>
      </c>
      <c r="J84">
        <v>0</v>
      </c>
      <c r="K84">
        <v>0</v>
      </c>
      <c r="L84" s="26">
        <v>0</v>
      </c>
      <c r="M84" s="25">
        <v>0</v>
      </c>
      <c r="N84" s="25">
        <v>0</v>
      </c>
      <c r="O84">
        <v>0</v>
      </c>
      <c r="P84" s="25">
        <v>0</v>
      </c>
      <c r="Q84" s="25">
        <v>0.1234</v>
      </c>
      <c r="R84" s="26">
        <v>11418</v>
      </c>
      <c r="S84" s="26">
        <v>3858140000</v>
      </c>
      <c r="T84">
        <v>0</v>
      </c>
      <c r="U84" s="25">
        <v>0.15579999999999999</v>
      </c>
    </row>
    <row r="85" spans="1:21" x14ac:dyDescent="0.25">
      <c r="A85" t="s">
        <v>350</v>
      </c>
      <c r="B85">
        <v>8.83</v>
      </c>
      <c r="C85">
        <v>9.02</v>
      </c>
      <c r="D85">
        <v>1.1100000000000001</v>
      </c>
      <c r="E85">
        <v>0</v>
      </c>
      <c r="F85" s="25">
        <v>0.47149999999999997</v>
      </c>
      <c r="G85">
        <v>0</v>
      </c>
      <c r="H85">
        <v>0</v>
      </c>
      <c r="I85">
        <v>0</v>
      </c>
      <c r="J85">
        <v>0</v>
      </c>
      <c r="K85">
        <v>0</v>
      </c>
      <c r="L85">
        <v>0</v>
      </c>
      <c r="M85" s="25">
        <v>0</v>
      </c>
      <c r="N85" s="25">
        <v>0</v>
      </c>
      <c r="O85">
        <v>0</v>
      </c>
      <c r="P85" s="25">
        <v>0</v>
      </c>
      <c r="Q85" s="25">
        <v>0.1234</v>
      </c>
      <c r="R85" s="26">
        <v>17615.900000000001</v>
      </c>
      <c r="S85" s="26">
        <v>3858140000</v>
      </c>
      <c r="T85">
        <v>0</v>
      </c>
      <c r="U85" s="25">
        <v>0.15579999999999999</v>
      </c>
    </row>
    <row r="86" spans="1:21" x14ac:dyDescent="0.25">
      <c r="A86" t="s">
        <v>27</v>
      </c>
      <c r="B86">
        <v>9.5</v>
      </c>
      <c r="C86">
        <v>5.36</v>
      </c>
      <c r="D86">
        <v>1.35</v>
      </c>
      <c r="E86">
        <v>0.94299999999999995</v>
      </c>
      <c r="F86" s="25">
        <v>8.8499999999999995E-2</v>
      </c>
      <c r="G86">
        <v>1.0580000000000001</v>
      </c>
      <c r="H86">
        <v>3.16</v>
      </c>
      <c r="I86">
        <v>4.6100000000000003</v>
      </c>
      <c r="J86">
        <v>3.82</v>
      </c>
      <c r="K86">
        <v>4.09</v>
      </c>
      <c r="L86">
        <v>3.53</v>
      </c>
      <c r="M86" s="25">
        <v>0.20469999999999999</v>
      </c>
      <c r="N86" s="25">
        <v>0.1759</v>
      </c>
      <c r="O86">
        <v>3.09</v>
      </c>
      <c r="P86" s="25">
        <v>0.27610000000000001</v>
      </c>
      <c r="Q86" s="25">
        <v>0.2525</v>
      </c>
      <c r="R86" s="26">
        <v>298087</v>
      </c>
      <c r="S86" s="26">
        <v>296523000</v>
      </c>
      <c r="T86">
        <v>0.01</v>
      </c>
      <c r="U86" s="25">
        <v>0.30299999999999999</v>
      </c>
    </row>
    <row r="87" spans="1:21" x14ac:dyDescent="0.25">
      <c r="A87" t="s">
        <v>251</v>
      </c>
      <c r="B87">
        <v>4.93</v>
      </c>
      <c r="C87">
        <v>8.44</v>
      </c>
      <c r="D87">
        <v>0.49</v>
      </c>
      <c r="E87">
        <v>0.14299999999999999</v>
      </c>
      <c r="F87" s="25">
        <v>5.9499999999999997E-2</v>
      </c>
      <c r="G87">
        <v>0.14199999999999999</v>
      </c>
      <c r="H87">
        <v>0.81</v>
      </c>
      <c r="I87">
        <v>3.06</v>
      </c>
      <c r="J87">
        <v>-1.18</v>
      </c>
      <c r="K87">
        <v>9.9499999999999993</v>
      </c>
      <c r="L87">
        <v>6.74</v>
      </c>
      <c r="M87" s="25">
        <v>4.6800000000000001E-2</v>
      </c>
      <c r="N87" s="25">
        <v>1.7000000000000001E-2</v>
      </c>
      <c r="O87">
        <v>1.42</v>
      </c>
      <c r="P87" s="25">
        <v>6.8500000000000005E-2</v>
      </c>
      <c r="Q87" s="25">
        <v>5.8599999999999999E-2</v>
      </c>
      <c r="R87" s="26">
        <v>6482190</v>
      </c>
      <c r="S87" s="26">
        <v>3488880000</v>
      </c>
      <c r="T87">
        <v>1.58</v>
      </c>
      <c r="U87" s="25">
        <v>0.1105</v>
      </c>
    </row>
    <row r="88" spans="1:21" x14ac:dyDescent="0.25">
      <c r="A88" t="s">
        <v>226</v>
      </c>
      <c r="B88">
        <v>5.97</v>
      </c>
      <c r="C88">
        <v>-37.68</v>
      </c>
      <c r="D88">
        <v>1.91</v>
      </c>
      <c r="E88">
        <v>1.7569999999999999</v>
      </c>
      <c r="F88" s="25">
        <v>0.32650000000000001</v>
      </c>
      <c r="G88">
        <v>1.383</v>
      </c>
      <c r="H88">
        <v>3.11</v>
      </c>
      <c r="I88">
        <v>-39.86</v>
      </c>
      <c r="J88">
        <v>3.73</v>
      </c>
      <c r="K88">
        <v>-26.2</v>
      </c>
      <c r="L88">
        <v>-109.1</v>
      </c>
      <c r="M88" s="25">
        <v>-4.41E-2</v>
      </c>
      <c r="N88" s="25">
        <v>-5.33E-2</v>
      </c>
      <c r="O88">
        <v>3.35</v>
      </c>
      <c r="P88" s="25">
        <v>-6.8599999999999994E-2</v>
      </c>
      <c r="Q88" s="25">
        <v>-5.0700000000000002E-2</v>
      </c>
      <c r="R88" s="26">
        <v>27349000</v>
      </c>
      <c r="S88" s="26">
        <v>352593000</v>
      </c>
      <c r="T88">
        <v>0</v>
      </c>
      <c r="U88" s="25">
        <v>0.21690000000000001</v>
      </c>
    </row>
    <row r="89" spans="1:21" x14ac:dyDescent="0.25">
      <c r="A89" t="s">
        <v>137</v>
      </c>
      <c r="B89">
        <v>4.7699999999999996</v>
      </c>
      <c r="C89">
        <v>17.190000000000001</v>
      </c>
      <c r="D89">
        <v>0.73</v>
      </c>
      <c r="E89">
        <v>0.35199999999999998</v>
      </c>
      <c r="F89" s="25">
        <v>0</v>
      </c>
      <c r="G89">
        <v>0.23200000000000001</v>
      </c>
      <c r="H89">
        <v>1.71</v>
      </c>
      <c r="I89">
        <v>4.28</v>
      </c>
      <c r="J89">
        <v>-0.67</v>
      </c>
      <c r="K89">
        <v>8.67</v>
      </c>
      <c r="L89">
        <v>4.5</v>
      </c>
      <c r="M89" s="25">
        <v>8.2299999999999998E-2</v>
      </c>
      <c r="N89" s="25">
        <v>3.3000000000000002E-2</v>
      </c>
      <c r="O89">
        <v>1.77</v>
      </c>
      <c r="P89" s="25">
        <v>6.4600000000000005E-2</v>
      </c>
      <c r="Q89" s="25">
        <v>4.2200000000000001E-2</v>
      </c>
      <c r="R89" s="26">
        <v>20087600</v>
      </c>
      <c r="S89" s="26">
        <v>4280660000</v>
      </c>
      <c r="T89">
        <v>0.94</v>
      </c>
      <c r="U89" s="25">
        <v>-2.0299999999999999E-2</v>
      </c>
    </row>
    <row r="90" spans="1:21" x14ac:dyDescent="0.25">
      <c r="A90" t="s">
        <v>351</v>
      </c>
      <c r="B90">
        <v>14.83</v>
      </c>
      <c r="C90">
        <v>8.15</v>
      </c>
      <c r="D90">
        <v>0.66</v>
      </c>
      <c r="E90">
        <v>0.627</v>
      </c>
      <c r="F90" s="25">
        <v>2.8199999999999999E-2</v>
      </c>
      <c r="G90">
        <v>0.28299999999999997</v>
      </c>
      <c r="H90">
        <v>-2.15</v>
      </c>
      <c r="I90">
        <v>4.8499999999999996</v>
      </c>
      <c r="J90">
        <v>-0.79</v>
      </c>
      <c r="K90">
        <v>8.61</v>
      </c>
      <c r="L90">
        <v>4.95</v>
      </c>
      <c r="M90" s="25">
        <v>0.12920000000000001</v>
      </c>
      <c r="N90" s="25">
        <v>7.6899999999999996E-2</v>
      </c>
      <c r="O90">
        <v>0.62</v>
      </c>
      <c r="P90" s="25">
        <v>6.3899999999999998E-2</v>
      </c>
      <c r="Q90" s="25">
        <v>8.14E-2</v>
      </c>
      <c r="R90" s="26">
        <v>1011.12</v>
      </c>
      <c r="S90" s="26">
        <v>8493750000</v>
      </c>
      <c r="T90">
        <v>0.55000000000000004</v>
      </c>
      <c r="U90" s="25">
        <v>5.4899999999999997E-2</v>
      </c>
    </row>
    <row r="91" spans="1:21" x14ac:dyDescent="0.25">
      <c r="A91" t="s">
        <v>195</v>
      </c>
      <c r="B91">
        <v>17.27</v>
      </c>
      <c r="C91">
        <v>13.8</v>
      </c>
      <c r="D91">
        <v>1.63</v>
      </c>
      <c r="E91">
        <v>0.68300000000000005</v>
      </c>
      <c r="F91" s="25">
        <v>2.2100000000000002E-2</v>
      </c>
      <c r="G91">
        <v>0.57399999999999995</v>
      </c>
      <c r="H91">
        <v>5.29</v>
      </c>
      <c r="I91">
        <v>5.38</v>
      </c>
      <c r="J91">
        <v>-3.21</v>
      </c>
      <c r="K91">
        <v>5.31</v>
      </c>
      <c r="L91">
        <v>4.22</v>
      </c>
      <c r="M91" s="25">
        <v>0.1268</v>
      </c>
      <c r="N91" s="25">
        <v>4.9500000000000002E-2</v>
      </c>
      <c r="O91">
        <v>1.3</v>
      </c>
      <c r="P91" s="25">
        <v>0.16889999999999999</v>
      </c>
      <c r="Q91" s="25">
        <v>0.1182</v>
      </c>
      <c r="R91" s="26">
        <v>49656700</v>
      </c>
      <c r="S91" s="26">
        <v>3262550000</v>
      </c>
      <c r="T91">
        <v>0.44</v>
      </c>
      <c r="U91" s="25">
        <v>0.17480000000000001</v>
      </c>
    </row>
    <row r="92" spans="1:21" x14ac:dyDescent="0.25">
      <c r="A92" t="s">
        <v>352</v>
      </c>
      <c r="B92">
        <v>19.149999999999999</v>
      </c>
      <c r="C92">
        <v>7.65</v>
      </c>
      <c r="D92">
        <v>1.24</v>
      </c>
      <c r="E92">
        <v>3.5329999999999999</v>
      </c>
      <c r="F92" s="25">
        <v>0.1031</v>
      </c>
      <c r="G92">
        <v>0.90200000000000002</v>
      </c>
      <c r="H92">
        <v>1.77</v>
      </c>
      <c r="I92">
        <v>10.5</v>
      </c>
      <c r="J92">
        <v>1.91</v>
      </c>
      <c r="K92">
        <v>5.31</v>
      </c>
      <c r="L92">
        <v>4.99</v>
      </c>
      <c r="M92" s="25">
        <v>0.3367</v>
      </c>
      <c r="N92" s="25">
        <v>0.60240000000000005</v>
      </c>
      <c r="O92">
        <v>9.39</v>
      </c>
      <c r="P92" s="25">
        <v>0.15870000000000001</v>
      </c>
      <c r="Q92" s="25">
        <v>0.1618</v>
      </c>
      <c r="R92" s="26">
        <v>102586</v>
      </c>
      <c r="S92" s="26">
        <v>1115020000</v>
      </c>
      <c r="T92">
        <v>0</v>
      </c>
      <c r="U92" s="25">
        <v>3.6600000000000001E-2</v>
      </c>
    </row>
    <row r="93" spans="1:21" x14ac:dyDescent="0.25">
      <c r="A93" t="s">
        <v>353</v>
      </c>
      <c r="B93">
        <v>19</v>
      </c>
      <c r="C93">
        <v>7.59</v>
      </c>
      <c r="D93">
        <v>1.23</v>
      </c>
      <c r="E93">
        <v>3.5059999999999998</v>
      </c>
      <c r="F93" s="25">
        <v>0.10390000000000001</v>
      </c>
      <c r="G93">
        <v>0.89500000000000002</v>
      </c>
      <c r="H93">
        <v>1.75</v>
      </c>
      <c r="I93">
        <v>10.41</v>
      </c>
      <c r="J93">
        <v>1.89</v>
      </c>
      <c r="K93">
        <v>5.23</v>
      </c>
      <c r="L93">
        <v>4.91</v>
      </c>
      <c r="M93" s="25">
        <v>0.3367</v>
      </c>
      <c r="N93" s="25">
        <v>0.60240000000000005</v>
      </c>
      <c r="O93">
        <v>9.39</v>
      </c>
      <c r="P93" s="25">
        <v>0.15870000000000001</v>
      </c>
      <c r="Q93" s="25">
        <v>0.1618</v>
      </c>
      <c r="R93" s="26">
        <v>65509.3</v>
      </c>
      <c r="S93" s="26">
        <v>1115020000</v>
      </c>
      <c r="T93">
        <v>0</v>
      </c>
      <c r="U93" s="25">
        <v>3.6600000000000001E-2</v>
      </c>
    </row>
    <row r="94" spans="1:21" x14ac:dyDescent="0.25">
      <c r="A94" t="s">
        <v>20</v>
      </c>
      <c r="B94">
        <v>20.86</v>
      </c>
      <c r="C94">
        <v>8.34</v>
      </c>
      <c r="D94">
        <v>1.35</v>
      </c>
      <c r="E94">
        <v>3.8490000000000002</v>
      </c>
      <c r="F94" s="25">
        <v>0.1041</v>
      </c>
      <c r="G94">
        <v>0.98299999999999998</v>
      </c>
      <c r="H94">
        <v>1.92</v>
      </c>
      <c r="I94">
        <v>11.43</v>
      </c>
      <c r="J94">
        <v>2.08</v>
      </c>
      <c r="K94">
        <v>6.25</v>
      </c>
      <c r="L94">
        <v>5.87</v>
      </c>
      <c r="M94" s="25">
        <v>0.3367</v>
      </c>
      <c r="N94" s="25">
        <v>0.60240000000000005</v>
      </c>
      <c r="O94">
        <v>9.39</v>
      </c>
      <c r="P94" s="25">
        <v>0.15870000000000001</v>
      </c>
      <c r="Q94" s="25">
        <v>0.1618</v>
      </c>
      <c r="R94" s="26">
        <v>118324</v>
      </c>
      <c r="S94" s="26">
        <v>1115020000</v>
      </c>
      <c r="T94">
        <v>0</v>
      </c>
      <c r="U94" s="25">
        <v>3.6600000000000001E-2</v>
      </c>
    </row>
    <row r="95" spans="1:21" x14ac:dyDescent="0.25">
      <c r="A95" t="s">
        <v>354</v>
      </c>
      <c r="B95">
        <v>21</v>
      </c>
      <c r="C95">
        <v>2.1</v>
      </c>
      <c r="D95">
        <v>0.67</v>
      </c>
      <c r="E95">
        <v>0.20300000000000001</v>
      </c>
      <c r="F95" s="25">
        <v>0</v>
      </c>
      <c r="G95">
        <v>0.216</v>
      </c>
      <c r="H95">
        <v>3.17</v>
      </c>
      <c r="I95">
        <v>1.1599999999999999</v>
      </c>
      <c r="J95">
        <v>-0.87</v>
      </c>
      <c r="K95">
        <v>3.28</v>
      </c>
      <c r="L95">
        <v>2.89</v>
      </c>
      <c r="M95" s="25">
        <v>0.17499999999999999</v>
      </c>
      <c r="N95" s="25">
        <v>9.64E-2</v>
      </c>
      <c r="O95">
        <v>1.19</v>
      </c>
      <c r="P95" s="25">
        <v>0.2024</v>
      </c>
      <c r="Q95" s="25">
        <v>0.31819999999999998</v>
      </c>
      <c r="R95" s="26">
        <v>1251.8800000000001</v>
      </c>
      <c r="S95" s="26">
        <v>313676000</v>
      </c>
      <c r="T95">
        <v>1.25</v>
      </c>
      <c r="U95" s="25">
        <v>9.4399999999999998E-2</v>
      </c>
    </row>
    <row r="96" spans="1:21" x14ac:dyDescent="0.25">
      <c r="A96" t="s">
        <v>355</v>
      </c>
      <c r="B96">
        <v>16.329999999999998</v>
      </c>
      <c r="C96">
        <v>1.64</v>
      </c>
      <c r="D96">
        <v>0.52</v>
      </c>
      <c r="E96">
        <v>0.158</v>
      </c>
      <c r="F96" s="25">
        <v>0</v>
      </c>
      <c r="G96">
        <v>0.16800000000000001</v>
      </c>
      <c r="H96">
        <v>2.46</v>
      </c>
      <c r="I96">
        <v>0.9</v>
      </c>
      <c r="J96">
        <v>-0.68</v>
      </c>
      <c r="K96">
        <v>3.03</v>
      </c>
      <c r="L96">
        <v>2.67</v>
      </c>
      <c r="M96" s="25">
        <v>0.17499999999999999</v>
      </c>
      <c r="N96" s="25">
        <v>9.64E-2</v>
      </c>
      <c r="O96">
        <v>1.19</v>
      </c>
      <c r="P96" s="25">
        <v>0.2024</v>
      </c>
      <c r="Q96" s="25">
        <v>0.31819999999999998</v>
      </c>
      <c r="R96" s="26">
        <v>25095</v>
      </c>
      <c r="S96" s="26">
        <v>313676000</v>
      </c>
      <c r="T96">
        <v>1.25</v>
      </c>
      <c r="U96" s="25">
        <v>9.4399999999999998E-2</v>
      </c>
    </row>
    <row r="97" spans="1:21" x14ac:dyDescent="0.25">
      <c r="A97" t="s">
        <v>356</v>
      </c>
      <c r="B97">
        <v>37.28</v>
      </c>
      <c r="C97">
        <v>4.58</v>
      </c>
      <c r="D97">
        <v>1.1499999999999999</v>
      </c>
      <c r="E97">
        <v>0.55800000000000005</v>
      </c>
      <c r="F97" s="25">
        <v>4.9500000000000002E-2</v>
      </c>
      <c r="G97">
        <v>0.30599999999999999</v>
      </c>
      <c r="H97">
        <v>-11.28</v>
      </c>
      <c r="I97">
        <v>2.2200000000000002</v>
      </c>
      <c r="J97">
        <v>-0.54</v>
      </c>
      <c r="K97">
        <v>5.65</v>
      </c>
      <c r="L97">
        <v>4.59</v>
      </c>
      <c r="M97" s="25">
        <v>0.25109999999999999</v>
      </c>
      <c r="N97" s="25">
        <v>0.12180000000000001</v>
      </c>
      <c r="O97">
        <v>0.86</v>
      </c>
      <c r="P97" s="25">
        <v>0.14580000000000001</v>
      </c>
      <c r="Q97" s="25">
        <v>0.252</v>
      </c>
      <c r="R97" s="26">
        <v>13391.1</v>
      </c>
      <c r="S97" s="26">
        <v>8461000000</v>
      </c>
      <c r="T97">
        <v>1.84</v>
      </c>
      <c r="U97" s="25">
        <v>6.5100000000000005E-2</v>
      </c>
    </row>
    <row r="98" spans="1:21" x14ac:dyDescent="0.25">
      <c r="A98" t="s">
        <v>357</v>
      </c>
      <c r="B98">
        <v>37.43</v>
      </c>
      <c r="C98">
        <v>4.5999999999999996</v>
      </c>
      <c r="D98">
        <v>1.1599999999999999</v>
      </c>
      <c r="E98">
        <v>0.56000000000000005</v>
      </c>
      <c r="F98" s="25">
        <v>4.9299999999999997E-2</v>
      </c>
      <c r="G98">
        <v>0.307</v>
      </c>
      <c r="H98">
        <v>-11.33</v>
      </c>
      <c r="I98">
        <v>2.23</v>
      </c>
      <c r="J98">
        <v>-0.54</v>
      </c>
      <c r="K98">
        <v>5.66</v>
      </c>
      <c r="L98">
        <v>4.59</v>
      </c>
      <c r="M98" s="25">
        <v>0.25109999999999999</v>
      </c>
      <c r="N98" s="25">
        <v>0.12180000000000001</v>
      </c>
      <c r="O98">
        <v>0.86</v>
      </c>
      <c r="P98" s="25">
        <v>0.14580000000000001</v>
      </c>
      <c r="Q98" s="25">
        <v>0.252</v>
      </c>
      <c r="R98" s="26">
        <v>474.31</v>
      </c>
      <c r="S98" s="26">
        <v>8461000000</v>
      </c>
      <c r="T98">
        <v>1.84</v>
      </c>
      <c r="U98" s="25">
        <v>6.5100000000000005E-2</v>
      </c>
    </row>
    <row r="99" spans="1:21" x14ac:dyDescent="0.25">
      <c r="A99" t="s">
        <v>358</v>
      </c>
      <c r="B99">
        <v>7.09</v>
      </c>
      <c r="C99">
        <v>-1.02</v>
      </c>
      <c r="D99">
        <v>-0.13</v>
      </c>
      <c r="E99">
        <v>8.5999999999999993E-2</v>
      </c>
      <c r="F99" s="25">
        <v>0</v>
      </c>
      <c r="G99">
        <v>5.8999999999999997E-2</v>
      </c>
      <c r="H99">
        <v>1.59</v>
      </c>
      <c r="I99">
        <v>0.81</v>
      </c>
      <c r="J99">
        <v>-0.05</v>
      </c>
      <c r="K99">
        <v>9.17</v>
      </c>
      <c r="L99">
        <v>7.14</v>
      </c>
      <c r="M99" s="25">
        <v>0.1061</v>
      </c>
      <c r="N99" s="25">
        <v>-8.4500000000000006E-2</v>
      </c>
      <c r="O99">
        <v>1.1299999999999999</v>
      </c>
      <c r="P99" s="25">
        <v>8.6699999999999999E-2</v>
      </c>
      <c r="Q99" s="25">
        <v>0.13139999999999999</v>
      </c>
      <c r="R99" s="26">
        <v>2302.14</v>
      </c>
      <c r="S99" s="26">
        <v>-3617840000</v>
      </c>
      <c r="T99">
        <v>-1.58</v>
      </c>
      <c r="U99" s="25">
        <v>8.8400000000000006E-2</v>
      </c>
    </row>
    <row r="100" spans="1:21" x14ac:dyDescent="0.25">
      <c r="A100" t="s">
        <v>359</v>
      </c>
      <c r="B100">
        <v>123.6</v>
      </c>
      <c r="C100">
        <v>9.32</v>
      </c>
      <c r="D100">
        <v>11.53</v>
      </c>
      <c r="E100">
        <v>1.1000000000000001</v>
      </c>
      <c r="F100" s="25">
        <v>8.0299999999999996E-2</v>
      </c>
      <c r="G100">
        <v>1.1679999999999999</v>
      </c>
      <c r="H100">
        <v>9.1199999999999992</v>
      </c>
      <c r="I100">
        <v>5.64</v>
      </c>
      <c r="J100">
        <v>-1.84</v>
      </c>
      <c r="K100">
        <v>8.17</v>
      </c>
      <c r="L100">
        <v>6.64</v>
      </c>
      <c r="M100" s="25">
        <v>0.1951</v>
      </c>
      <c r="N100" s="25">
        <v>0.1179</v>
      </c>
      <c r="O100">
        <v>1.95</v>
      </c>
      <c r="P100" s="25">
        <v>0.2429</v>
      </c>
      <c r="Q100" s="25">
        <v>1.2369000000000001</v>
      </c>
      <c r="R100" s="26">
        <v>10825.2</v>
      </c>
      <c r="S100" s="26">
        <v>1420180000</v>
      </c>
      <c r="T100">
        <v>5.98</v>
      </c>
      <c r="U100" s="25">
        <v>0.1389</v>
      </c>
    </row>
    <row r="101" spans="1:21" x14ac:dyDescent="0.25">
      <c r="A101" t="s">
        <v>360</v>
      </c>
      <c r="B101">
        <v>128.55000000000001</v>
      </c>
      <c r="C101">
        <v>9.6999999999999993</v>
      </c>
      <c r="D101">
        <v>12</v>
      </c>
      <c r="E101">
        <v>1.1439999999999999</v>
      </c>
      <c r="F101" s="25">
        <v>8.5000000000000006E-2</v>
      </c>
      <c r="G101">
        <v>1.214</v>
      </c>
      <c r="H101">
        <v>9.48</v>
      </c>
      <c r="I101">
        <v>5.86</v>
      </c>
      <c r="J101">
        <v>-1.91</v>
      </c>
      <c r="K101">
        <v>8.39</v>
      </c>
      <c r="L101">
        <v>6.83</v>
      </c>
      <c r="M101" s="25">
        <v>0.1951</v>
      </c>
      <c r="N101" s="25">
        <v>0.1179</v>
      </c>
      <c r="O101">
        <v>1.95</v>
      </c>
      <c r="P101" s="25">
        <v>0.2429</v>
      </c>
      <c r="Q101" s="25">
        <v>1.2369000000000001</v>
      </c>
      <c r="R101" s="26">
        <v>99844.2</v>
      </c>
      <c r="S101" s="26">
        <v>1420180000</v>
      </c>
      <c r="T101">
        <v>5.98</v>
      </c>
      <c r="U101" s="25">
        <v>0.1389</v>
      </c>
    </row>
    <row r="102" spans="1:21" x14ac:dyDescent="0.25">
      <c r="A102" t="s">
        <v>361</v>
      </c>
      <c r="B102">
        <v>27.75</v>
      </c>
      <c r="C102">
        <v>5.52</v>
      </c>
      <c r="D102">
        <v>0.6</v>
      </c>
      <c r="E102">
        <v>0.77600000000000002</v>
      </c>
      <c r="F102" s="25">
        <v>0.1163</v>
      </c>
      <c r="G102">
        <v>0.43</v>
      </c>
      <c r="H102">
        <v>1.59</v>
      </c>
      <c r="I102">
        <v>6.61</v>
      </c>
      <c r="J102">
        <v>2.66</v>
      </c>
      <c r="K102">
        <v>4.2300000000000004</v>
      </c>
      <c r="L102">
        <v>3.21</v>
      </c>
      <c r="M102" s="25">
        <v>0.1174</v>
      </c>
      <c r="N102" s="25">
        <v>0.14069999999999999</v>
      </c>
      <c r="O102">
        <v>2.52</v>
      </c>
      <c r="P102" s="25">
        <v>8.6199999999999999E-2</v>
      </c>
      <c r="Q102" s="25">
        <v>0.10929999999999999</v>
      </c>
      <c r="R102" s="26">
        <v>101163</v>
      </c>
      <c r="S102" s="26">
        <v>947333000</v>
      </c>
      <c r="T102">
        <v>0</v>
      </c>
      <c r="U102" s="25">
        <v>0.10879999999999999</v>
      </c>
    </row>
    <row r="103" spans="1:21" x14ac:dyDescent="0.25">
      <c r="A103" t="s">
        <v>4</v>
      </c>
      <c r="B103">
        <v>27.75</v>
      </c>
      <c r="C103">
        <v>5.52</v>
      </c>
      <c r="D103">
        <v>0.6</v>
      </c>
      <c r="E103">
        <v>0.77600000000000002</v>
      </c>
      <c r="F103" s="25">
        <v>0.1163</v>
      </c>
      <c r="G103">
        <v>0.43</v>
      </c>
      <c r="H103">
        <v>1.59</v>
      </c>
      <c r="I103">
        <v>6.61</v>
      </c>
      <c r="J103">
        <v>2.66</v>
      </c>
      <c r="K103">
        <v>4.2300000000000004</v>
      </c>
      <c r="L103">
        <v>3.21</v>
      </c>
      <c r="M103" s="25">
        <v>0.1174</v>
      </c>
      <c r="N103" s="25">
        <v>0.14069999999999999</v>
      </c>
      <c r="O103">
        <v>2.52</v>
      </c>
      <c r="P103" s="25">
        <v>8.6199999999999999E-2</v>
      </c>
      <c r="Q103" s="25">
        <v>0.10929999999999999</v>
      </c>
      <c r="R103" s="26">
        <v>317299</v>
      </c>
      <c r="S103" s="26">
        <v>947333000</v>
      </c>
      <c r="T103">
        <v>0</v>
      </c>
      <c r="U103" s="25">
        <v>0.10879999999999999</v>
      </c>
    </row>
    <row r="104" spans="1:21" x14ac:dyDescent="0.25">
      <c r="A104" t="s">
        <v>362</v>
      </c>
      <c r="B104">
        <v>95.99</v>
      </c>
      <c r="C104">
        <v>5.03</v>
      </c>
      <c r="D104">
        <v>0.96</v>
      </c>
      <c r="E104">
        <v>0.33500000000000002</v>
      </c>
      <c r="F104" s="25">
        <v>6.8400000000000002E-2</v>
      </c>
      <c r="G104">
        <v>0.27600000000000002</v>
      </c>
      <c r="H104">
        <v>3.96</v>
      </c>
      <c r="I104">
        <v>3.28</v>
      </c>
      <c r="J104">
        <v>-0.7</v>
      </c>
      <c r="K104">
        <v>6.35</v>
      </c>
      <c r="L104" s="26">
        <v>4.83</v>
      </c>
      <c r="M104" s="25">
        <v>0.1022</v>
      </c>
      <c r="N104" s="25">
        <v>6.6699999999999995E-2</v>
      </c>
      <c r="O104">
        <v>1.28</v>
      </c>
      <c r="P104" s="25">
        <v>9.6699999999999994E-2</v>
      </c>
      <c r="Q104" s="25">
        <v>0.19059999999999999</v>
      </c>
      <c r="R104" s="26">
        <v>6520.93</v>
      </c>
      <c r="S104" s="26">
        <v>3863830000</v>
      </c>
      <c r="T104">
        <v>1.0900000000000001</v>
      </c>
      <c r="U104" s="25">
        <v>2.5100000000000001E-2</v>
      </c>
    </row>
    <row r="105" spans="1:21" x14ac:dyDescent="0.25">
      <c r="A105" t="s">
        <v>363</v>
      </c>
      <c r="B105">
        <v>104.82</v>
      </c>
      <c r="C105">
        <v>5.49</v>
      </c>
      <c r="D105">
        <v>1.05</v>
      </c>
      <c r="E105">
        <v>0.36599999999999999</v>
      </c>
      <c r="F105" s="25">
        <v>6.8900000000000003E-2</v>
      </c>
      <c r="G105">
        <v>0.30099999999999999</v>
      </c>
      <c r="H105">
        <v>4.32</v>
      </c>
      <c r="I105">
        <v>3.59</v>
      </c>
      <c r="J105">
        <v>-0.76</v>
      </c>
      <c r="K105">
        <v>6.66</v>
      </c>
      <c r="L105">
        <v>5.0599999999999996</v>
      </c>
      <c r="M105" s="25">
        <v>0.1022</v>
      </c>
      <c r="N105" s="25">
        <v>6.6699999999999995E-2</v>
      </c>
      <c r="O105">
        <v>1.28</v>
      </c>
      <c r="P105" s="25">
        <v>9.6699999999999994E-2</v>
      </c>
      <c r="Q105" s="25">
        <v>0.19059999999999999</v>
      </c>
      <c r="R105" s="26">
        <v>377119</v>
      </c>
      <c r="S105" s="26">
        <v>3863830000</v>
      </c>
      <c r="T105">
        <v>1.0900000000000001</v>
      </c>
      <c r="U105" s="25">
        <v>2.5100000000000001E-2</v>
      </c>
    </row>
    <row r="106" spans="1:21" x14ac:dyDescent="0.25">
      <c r="A106" t="s">
        <v>364</v>
      </c>
      <c r="B106">
        <v>14.98</v>
      </c>
      <c r="C106">
        <v>6.12</v>
      </c>
      <c r="D106">
        <v>1.54</v>
      </c>
      <c r="E106">
        <v>1.056</v>
      </c>
      <c r="F106" s="25">
        <v>8.6999999999999994E-2</v>
      </c>
      <c r="G106">
        <v>0.67100000000000004</v>
      </c>
      <c r="H106">
        <v>49.38</v>
      </c>
      <c r="I106">
        <v>6.14</v>
      </c>
      <c r="J106">
        <v>-2.09</v>
      </c>
      <c r="K106">
        <v>7.65</v>
      </c>
      <c r="L106">
        <v>6.37</v>
      </c>
      <c r="M106" s="25">
        <v>0.17180000000000001</v>
      </c>
      <c r="N106" s="25">
        <v>0.17249999999999999</v>
      </c>
      <c r="O106">
        <v>1.06</v>
      </c>
      <c r="P106" s="25">
        <v>0.1241</v>
      </c>
      <c r="Q106" s="25">
        <v>0.25090000000000001</v>
      </c>
      <c r="R106" s="26">
        <v>5551200</v>
      </c>
      <c r="S106" s="26">
        <v>27914500000</v>
      </c>
      <c r="T106">
        <v>0.55000000000000004</v>
      </c>
      <c r="U106" s="25">
        <v>9.9699999999999997E-2</v>
      </c>
    </row>
    <row r="107" spans="1:21" x14ac:dyDescent="0.25">
      <c r="A107" t="s">
        <v>22</v>
      </c>
      <c r="B107">
        <v>10.58</v>
      </c>
      <c r="C107">
        <v>4.32</v>
      </c>
      <c r="D107">
        <v>1.08</v>
      </c>
      <c r="E107">
        <v>0.746</v>
      </c>
      <c r="F107" s="25">
        <v>0.1232</v>
      </c>
      <c r="G107">
        <v>0.47399999999999998</v>
      </c>
      <c r="H107">
        <v>34.869999999999997</v>
      </c>
      <c r="I107">
        <v>4.34</v>
      </c>
      <c r="J107">
        <v>-1.48</v>
      </c>
      <c r="K107">
        <v>5.85</v>
      </c>
      <c r="L107">
        <v>4.87</v>
      </c>
      <c r="M107" s="25">
        <v>0.17180000000000001</v>
      </c>
      <c r="N107" s="25">
        <v>0.17249999999999999</v>
      </c>
      <c r="O107">
        <v>1.06</v>
      </c>
      <c r="P107" s="25">
        <v>0.1241</v>
      </c>
      <c r="Q107" s="25">
        <v>0.25090000000000001</v>
      </c>
      <c r="R107" s="26">
        <v>116043000</v>
      </c>
      <c r="S107" s="26">
        <v>27914500000</v>
      </c>
      <c r="T107">
        <v>0.55000000000000004</v>
      </c>
      <c r="U107" s="25">
        <v>9.9699999999999997E-2</v>
      </c>
    </row>
    <row r="108" spans="1:21" x14ac:dyDescent="0.25">
      <c r="A108" t="s">
        <v>365</v>
      </c>
      <c r="B108">
        <v>5.37</v>
      </c>
      <c r="C108">
        <v>8.15</v>
      </c>
      <c r="D108">
        <v>2.88</v>
      </c>
      <c r="E108">
        <v>1.7430000000000001</v>
      </c>
      <c r="F108" s="25">
        <v>0.15459999999999999</v>
      </c>
      <c r="G108">
        <v>0.83399999999999996</v>
      </c>
      <c r="H108">
        <v>3.19</v>
      </c>
      <c r="I108">
        <v>5.86</v>
      </c>
      <c r="J108">
        <v>-3.5</v>
      </c>
      <c r="K108">
        <v>4.97</v>
      </c>
      <c r="L108">
        <v>4.03</v>
      </c>
      <c r="M108" s="25">
        <v>0.29749999999999999</v>
      </c>
      <c r="N108" s="25">
        <v>0.21379999999999999</v>
      </c>
      <c r="O108">
        <v>2.2400000000000002</v>
      </c>
      <c r="P108" s="25">
        <v>0.26140000000000002</v>
      </c>
      <c r="Q108" s="25">
        <v>0.35299999999999998</v>
      </c>
      <c r="R108" s="26">
        <v>31446200</v>
      </c>
      <c r="S108" s="26">
        <v>10233800000</v>
      </c>
      <c r="T108">
        <v>0.96</v>
      </c>
      <c r="U108" s="25">
        <v>-4.8999999999999998E-3</v>
      </c>
    </row>
    <row r="109" spans="1:21" x14ac:dyDescent="0.25">
      <c r="A109" t="s">
        <v>366</v>
      </c>
      <c r="B109">
        <v>26</v>
      </c>
      <c r="C109">
        <v>6.03</v>
      </c>
      <c r="D109">
        <v>0.43</v>
      </c>
      <c r="E109">
        <v>0.26600000000000001</v>
      </c>
      <c r="F109" s="25">
        <v>4.6899999999999997E-2</v>
      </c>
      <c r="G109">
        <v>0.15</v>
      </c>
      <c r="H109">
        <v>-0.65</v>
      </c>
      <c r="I109">
        <v>1.85</v>
      </c>
      <c r="J109">
        <v>-0.34</v>
      </c>
      <c r="K109">
        <v>6.34</v>
      </c>
      <c r="L109">
        <v>4.08</v>
      </c>
      <c r="M109" s="25">
        <v>0.1439</v>
      </c>
      <c r="N109" s="25">
        <v>4.3999999999999997E-2</v>
      </c>
      <c r="O109">
        <v>0.48</v>
      </c>
      <c r="P109" s="25">
        <v>9.0300000000000005E-2</v>
      </c>
      <c r="Q109" s="25">
        <v>7.1900000000000006E-2</v>
      </c>
      <c r="R109" s="26">
        <v>3893.95</v>
      </c>
      <c r="S109" s="26">
        <v>5174440000</v>
      </c>
      <c r="T109">
        <v>1.1100000000000001</v>
      </c>
      <c r="U109" s="25">
        <v>6.7100000000000007E-2</v>
      </c>
    </row>
    <row r="110" spans="1:21" x14ac:dyDescent="0.25">
      <c r="A110" t="s">
        <v>194</v>
      </c>
      <c r="B110">
        <v>27.65</v>
      </c>
      <c r="C110">
        <v>6.42</v>
      </c>
      <c r="D110">
        <v>0.46</v>
      </c>
      <c r="E110">
        <v>0.28299999999999997</v>
      </c>
      <c r="F110" s="25">
        <v>4.41E-2</v>
      </c>
      <c r="G110">
        <v>0.16</v>
      </c>
      <c r="H110">
        <v>-0.69</v>
      </c>
      <c r="I110">
        <v>1.96</v>
      </c>
      <c r="J110">
        <v>-0.36</v>
      </c>
      <c r="K110">
        <v>6.45</v>
      </c>
      <c r="L110">
        <v>4.1500000000000004</v>
      </c>
      <c r="M110" s="25">
        <v>0.1439</v>
      </c>
      <c r="N110" s="25">
        <v>4.3999999999999997E-2</v>
      </c>
      <c r="O110">
        <v>0.48</v>
      </c>
      <c r="P110" s="25">
        <v>9.0300000000000005E-2</v>
      </c>
      <c r="Q110" s="25">
        <v>7.1900000000000006E-2</v>
      </c>
      <c r="R110" s="26">
        <v>187481</v>
      </c>
      <c r="S110" s="26">
        <v>5174440000</v>
      </c>
      <c r="T110">
        <v>1.1100000000000001</v>
      </c>
      <c r="U110" s="25">
        <v>6.7100000000000007E-2</v>
      </c>
    </row>
    <row r="111" spans="1:21" x14ac:dyDescent="0.25">
      <c r="A111" t="s">
        <v>218</v>
      </c>
      <c r="B111">
        <v>2.64</v>
      </c>
      <c r="C111">
        <v>5.04</v>
      </c>
      <c r="D111">
        <v>0.4</v>
      </c>
      <c r="E111">
        <v>0.76200000000000001</v>
      </c>
      <c r="F111" s="25">
        <v>2.53E-2</v>
      </c>
      <c r="G111">
        <v>0.20499999999999999</v>
      </c>
      <c r="H111">
        <v>3.8</v>
      </c>
      <c r="I111">
        <v>2.39</v>
      </c>
      <c r="J111">
        <v>-0.84</v>
      </c>
      <c r="K111">
        <v>5.0199999999999996</v>
      </c>
      <c r="L111">
        <v>3.76</v>
      </c>
      <c r="M111" s="25">
        <v>0.31909999999999999</v>
      </c>
      <c r="N111" s="25">
        <v>0.1676</v>
      </c>
      <c r="O111">
        <v>1.38</v>
      </c>
      <c r="P111" s="25">
        <v>9.5500000000000002E-2</v>
      </c>
      <c r="Q111" s="25">
        <v>7.9000000000000001E-2</v>
      </c>
      <c r="R111" s="26">
        <v>95544700</v>
      </c>
      <c r="S111" s="26">
        <v>12444500000</v>
      </c>
      <c r="T111">
        <v>0.55000000000000004</v>
      </c>
      <c r="U111" s="25">
        <v>8.7900000000000006E-2</v>
      </c>
    </row>
    <row r="112" spans="1:21" x14ac:dyDescent="0.25">
      <c r="A112" t="s">
        <v>103</v>
      </c>
      <c r="B112">
        <v>38.5</v>
      </c>
      <c r="C112">
        <v>8.32</v>
      </c>
      <c r="D112">
        <v>1.99</v>
      </c>
      <c r="E112">
        <v>1.0289999999999999</v>
      </c>
      <c r="F112" s="25">
        <v>7.2599999999999998E-2</v>
      </c>
      <c r="G112">
        <v>0.56399999999999995</v>
      </c>
      <c r="H112">
        <v>-178.13</v>
      </c>
      <c r="I112">
        <v>4.01</v>
      </c>
      <c r="J112">
        <v>-1.17</v>
      </c>
      <c r="K112">
        <v>6.2</v>
      </c>
      <c r="L112">
        <v>5.25</v>
      </c>
      <c r="M112" s="25">
        <v>0.25650000000000001</v>
      </c>
      <c r="N112" s="25">
        <v>0.13039999999999999</v>
      </c>
      <c r="O112">
        <v>0.99</v>
      </c>
      <c r="P112" s="25">
        <v>0.15609999999999999</v>
      </c>
      <c r="Q112" s="25">
        <v>0.2397</v>
      </c>
      <c r="R112" s="26">
        <v>46633100</v>
      </c>
      <c r="S112" s="26">
        <v>22249300000</v>
      </c>
      <c r="T112">
        <v>1.27</v>
      </c>
      <c r="U112" s="25">
        <v>6.1699999999999998E-2</v>
      </c>
    </row>
    <row r="113" spans="1:21" x14ac:dyDescent="0.25">
      <c r="A113" t="s">
        <v>93</v>
      </c>
      <c r="B113">
        <v>11.1</v>
      </c>
      <c r="C113">
        <v>11.25</v>
      </c>
      <c r="D113">
        <v>1.26</v>
      </c>
      <c r="E113">
        <v>1.4319999999999999</v>
      </c>
      <c r="F113" s="25">
        <v>6.6799999999999998E-2</v>
      </c>
      <c r="G113">
        <v>0.55000000000000004</v>
      </c>
      <c r="H113">
        <v>6.29</v>
      </c>
      <c r="I113">
        <v>7.97</v>
      </c>
      <c r="J113">
        <v>-1.85</v>
      </c>
      <c r="K113">
        <v>11.04</v>
      </c>
      <c r="L113">
        <v>8.17</v>
      </c>
      <c r="M113" s="25">
        <v>0.17960000000000001</v>
      </c>
      <c r="N113" s="25">
        <v>0.12670000000000001</v>
      </c>
      <c r="O113">
        <v>1.48</v>
      </c>
      <c r="P113" s="25">
        <v>8.0100000000000005E-2</v>
      </c>
      <c r="Q113" s="25">
        <v>0.112</v>
      </c>
      <c r="R113" s="26">
        <v>57462600</v>
      </c>
      <c r="S113" s="26">
        <v>26272200000</v>
      </c>
      <c r="T113">
        <v>0.72</v>
      </c>
      <c r="U113" s="25">
        <v>2.06E-2</v>
      </c>
    </row>
    <row r="114" spans="1:21" x14ac:dyDescent="0.25">
      <c r="A114" t="s">
        <v>367</v>
      </c>
      <c r="B114">
        <v>12.01</v>
      </c>
      <c r="C114">
        <v>12.17</v>
      </c>
      <c r="D114">
        <v>1.36</v>
      </c>
      <c r="E114">
        <v>1.5489999999999999</v>
      </c>
      <c r="F114" s="25">
        <v>6.7900000000000002E-2</v>
      </c>
      <c r="G114">
        <v>0.59499999999999997</v>
      </c>
      <c r="H114">
        <v>6.8</v>
      </c>
      <c r="I114">
        <v>8.6300000000000008</v>
      </c>
      <c r="J114">
        <v>-2.0099999999999998</v>
      </c>
      <c r="K114">
        <v>11.69</v>
      </c>
      <c r="L114">
        <v>8.66</v>
      </c>
      <c r="M114" s="25">
        <v>0.17960000000000001</v>
      </c>
      <c r="N114" s="25">
        <v>0.12670000000000001</v>
      </c>
      <c r="O114">
        <v>1.48</v>
      </c>
      <c r="P114" s="25">
        <v>8.0100000000000005E-2</v>
      </c>
      <c r="Q114" s="25">
        <v>0.112</v>
      </c>
      <c r="R114" s="26">
        <v>4526.67</v>
      </c>
      <c r="S114" s="26">
        <v>26272200000</v>
      </c>
      <c r="T114">
        <v>0.72</v>
      </c>
      <c r="U114" s="25">
        <v>2.06E-2</v>
      </c>
    </row>
    <row r="115" spans="1:21" x14ac:dyDescent="0.25">
      <c r="A115" t="s">
        <v>19</v>
      </c>
      <c r="B115">
        <v>11.88</v>
      </c>
      <c r="C115">
        <v>12.04</v>
      </c>
      <c r="D115">
        <v>1.35</v>
      </c>
      <c r="E115">
        <v>1.532</v>
      </c>
      <c r="F115" s="25">
        <v>6.8699999999999997E-2</v>
      </c>
      <c r="G115">
        <v>0.58799999999999997</v>
      </c>
      <c r="H115">
        <v>6.73</v>
      </c>
      <c r="I115">
        <v>8.5299999999999994</v>
      </c>
      <c r="J115">
        <v>-1.98</v>
      </c>
      <c r="K115">
        <v>11.6</v>
      </c>
      <c r="L115">
        <v>8.59</v>
      </c>
      <c r="M115" s="25">
        <v>0.17960000000000001</v>
      </c>
      <c r="N115" s="25">
        <v>0.12670000000000001</v>
      </c>
      <c r="O115">
        <v>1.48</v>
      </c>
      <c r="P115" s="25">
        <v>8.0100000000000005E-2</v>
      </c>
      <c r="Q115" s="25">
        <v>0.112</v>
      </c>
      <c r="R115" s="26">
        <v>141016000</v>
      </c>
      <c r="S115" s="26">
        <v>26272200000</v>
      </c>
      <c r="T115">
        <v>0.72</v>
      </c>
      <c r="U115" s="25">
        <v>2.06E-2</v>
      </c>
    </row>
    <row r="116" spans="1:21" x14ac:dyDescent="0.25">
      <c r="A116" t="s">
        <v>34</v>
      </c>
      <c r="B116">
        <v>8.48</v>
      </c>
      <c r="C116">
        <v>8.92</v>
      </c>
      <c r="D116">
        <v>0.84</v>
      </c>
      <c r="E116">
        <v>0.15</v>
      </c>
      <c r="F116" s="25">
        <v>1.12E-2</v>
      </c>
      <c r="G116">
        <v>0.19</v>
      </c>
      <c r="H116">
        <v>-25.37</v>
      </c>
      <c r="I116">
        <v>3.73</v>
      </c>
      <c r="J116">
        <v>-0.68</v>
      </c>
      <c r="K116">
        <v>7.24</v>
      </c>
      <c r="L116">
        <v>5.24</v>
      </c>
      <c r="M116" s="25">
        <v>4.0300000000000002E-2</v>
      </c>
      <c r="N116" s="25">
        <v>1.8599999999999998E-2</v>
      </c>
      <c r="O116">
        <v>0.98</v>
      </c>
      <c r="P116" s="25">
        <v>6.5799999999999997E-2</v>
      </c>
      <c r="Q116" s="25">
        <v>9.3600000000000003E-2</v>
      </c>
      <c r="R116" s="26">
        <v>4743860</v>
      </c>
      <c r="S116" s="26">
        <v>21416000000</v>
      </c>
      <c r="T116">
        <v>1.1100000000000001</v>
      </c>
      <c r="U116" s="25">
        <v>0.125</v>
      </c>
    </row>
    <row r="117" spans="1:21" x14ac:dyDescent="0.25">
      <c r="A117" t="s">
        <v>368</v>
      </c>
      <c r="B117">
        <v>15.61</v>
      </c>
      <c r="C117">
        <v>-3.85</v>
      </c>
      <c r="D117">
        <v>0.77</v>
      </c>
      <c r="E117">
        <v>0.63600000000000001</v>
      </c>
      <c r="F117" s="25">
        <v>0</v>
      </c>
      <c r="G117">
        <v>0.52</v>
      </c>
      <c r="H117" s="26">
        <v>1.23</v>
      </c>
      <c r="I117">
        <v>-12.22</v>
      </c>
      <c r="J117">
        <v>1.75</v>
      </c>
      <c r="K117">
        <v>-8.7100000000000009</v>
      </c>
      <c r="L117">
        <v>-47</v>
      </c>
      <c r="M117" s="25">
        <v>-5.21E-2</v>
      </c>
      <c r="N117" s="25">
        <v>-0.1651</v>
      </c>
      <c r="O117">
        <v>3.13</v>
      </c>
      <c r="P117" s="25">
        <v>-5.8700000000000002E-2</v>
      </c>
      <c r="Q117" s="25">
        <v>-0.1993</v>
      </c>
      <c r="R117" s="26">
        <v>1299.19</v>
      </c>
      <c r="S117" s="26">
        <v>589725000</v>
      </c>
      <c r="T117">
        <v>0.02</v>
      </c>
      <c r="U117" s="25">
        <v>-0.08</v>
      </c>
    </row>
    <row r="118" spans="1:21" x14ac:dyDescent="0.25">
      <c r="A118" t="s">
        <v>211</v>
      </c>
      <c r="B118">
        <v>16.22</v>
      </c>
      <c r="C118">
        <v>-4.01</v>
      </c>
      <c r="D118">
        <v>0.8</v>
      </c>
      <c r="E118">
        <v>0.66100000000000003</v>
      </c>
      <c r="F118" s="25">
        <v>0</v>
      </c>
      <c r="G118">
        <v>0.54</v>
      </c>
      <c r="H118" s="26">
        <v>1.28</v>
      </c>
      <c r="I118">
        <v>-12.7</v>
      </c>
      <c r="J118">
        <v>1.82</v>
      </c>
      <c r="K118">
        <v>-9.19</v>
      </c>
      <c r="L118">
        <v>-49.58</v>
      </c>
      <c r="M118" s="25">
        <v>-5.21E-2</v>
      </c>
      <c r="N118" s="25">
        <v>-0.1651</v>
      </c>
      <c r="O118">
        <v>3.13</v>
      </c>
      <c r="P118" s="25">
        <v>-5.8700000000000002E-2</v>
      </c>
      <c r="Q118" s="25">
        <v>-0.1993</v>
      </c>
      <c r="R118" s="26">
        <v>49535.199999999997</v>
      </c>
      <c r="S118" s="26">
        <v>589725000</v>
      </c>
      <c r="T118">
        <v>0.02</v>
      </c>
      <c r="U118" s="25">
        <v>-0.08</v>
      </c>
    </row>
    <row r="119" spans="1:21" x14ac:dyDescent="0.25">
      <c r="A119" t="s">
        <v>369</v>
      </c>
      <c r="B119">
        <v>18.989999999999998</v>
      </c>
      <c r="C119">
        <v>-4.6900000000000004</v>
      </c>
      <c r="D119">
        <v>0.93</v>
      </c>
      <c r="E119">
        <v>0.77400000000000002</v>
      </c>
      <c r="F119" s="25">
        <v>0</v>
      </c>
      <c r="G119">
        <v>0.63200000000000001</v>
      </c>
      <c r="H119" s="26">
        <v>1.5</v>
      </c>
      <c r="I119">
        <v>-14.86</v>
      </c>
      <c r="J119">
        <v>2.13</v>
      </c>
      <c r="K119">
        <v>-11.36</v>
      </c>
      <c r="L119">
        <v>-61.27</v>
      </c>
      <c r="M119" s="25">
        <v>-5.21E-2</v>
      </c>
      <c r="N119" s="25">
        <v>-0.1651</v>
      </c>
      <c r="O119">
        <v>3.13</v>
      </c>
      <c r="P119" s="25">
        <v>-5.8700000000000002E-2</v>
      </c>
      <c r="Q119" s="25">
        <v>-0.1993</v>
      </c>
      <c r="R119" s="26">
        <v>2701.79</v>
      </c>
      <c r="S119" s="26">
        <v>589725000</v>
      </c>
      <c r="T119">
        <v>0.02</v>
      </c>
      <c r="U119" s="25">
        <v>-0.08</v>
      </c>
    </row>
    <row r="120" spans="1:21" x14ac:dyDescent="0.25">
      <c r="A120" t="s">
        <v>246</v>
      </c>
      <c r="B120">
        <v>5.87</v>
      </c>
      <c r="C120">
        <v>-0.99</v>
      </c>
      <c r="D120">
        <v>1.39</v>
      </c>
      <c r="E120">
        <v>0.25</v>
      </c>
      <c r="F120" s="25">
        <v>0</v>
      </c>
      <c r="G120">
        <v>8.5999999999999993E-2</v>
      </c>
      <c r="H120">
        <v>0.73</v>
      </c>
      <c r="I120">
        <v>1.19</v>
      </c>
      <c r="J120">
        <v>-0.17</v>
      </c>
      <c r="K120">
        <v>6.86</v>
      </c>
      <c r="L120">
        <v>3.88</v>
      </c>
      <c r="M120" s="25">
        <v>0.21060000000000001</v>
      </c>
      <c r="N120" s="25">
        <v>-0.23669999999999999</v>
      </c>
      <c r="O120">
        <v>2.13</v>
      </c>
      <c r="P120" s="25">
        <v>8.48E-2</v>
      </c>
      <c r="Q120" s="25">
        <v>-1.3964000000000001</v>
      </c>
      <c r="R120" s="26">
        <v>126307000</v>
      </c>
      <c r="S120" s="26">
        <v>7891660000</v>
      </c>
      <c r="T120">
        <v>8.5</v>
      </c>
      <c r="U120" s="25">
        <v>0.28720000000000001</v>
      </c>
    </row>
    <row r="121" spans="1:21" x14ac:dyDescent="0.25">
      <c r="A121" t="s">
        <v>157</v>
      </c>
      <c r="B121">
        <v>4.92</v>
      </c>
      <c r="C121">
        <v>9.34</v>
      </c>
      <c r="D121">
        <v>1.1499999999999999</v>
      </c>
      <c r="E121">
        <v>0.68200000000000005</v>
      </c>
      <c r="F121" s="25">
        <v>7.6399999999999996E-2</v>
      </c>
      <c r="G121">
        <v>0.373</v>
      </c>
      <c r="H121">
        <v>6.34</v>
      </c>
      <c r="I121">
        <v>3.62</v>
      </c>
      <c r="J121">
        <v>-0.83</v>
      </c>
      <c r="K121">
        <v>4.6399999999999997</v>
      </c>
      <c r="L121">
        <v>3.06</v>
      </c>
      <c r="M121" s="25">
        <v>0.18859999999999999</v>
      </c>
      <c r="N121" s="25">
        <v>7.2999999999999995E-2</v>
      </c>
      <c r="O121">
        <v>1.35</v>
      </c>
      <c r="P121" s="25">
        <v>0.12790000000000001</v>
      </c>
      <c r="Q121" s="25">
        <v>0.1234</v>
      </c>
      <c r="R121" s="26">
        <v>1920210</v>
      </c>
      <c r="S121" s="26">
        <v>1557200000</v>
      </c>
      <c r="T121">
        <v>0.85</v>
      </c>
      <c r="U121" s="25">
        <v>0.1042</v>
      </c>
    </row>
    <row r="122" spans="1:21" x14ac:dyDescent="0.25">
      <c r="A122" t="s">
        <v>128</v>
      </c>
      <c r="B122">
        <v>25.82</v>
      </c>
      <c r="C122">
        <v>7.04</v>
      </c>
      <c r="D122">
        <v>1.18</v>
      </c>
      <c r="E122">
        <v>1.216</v>
      </c>
      <c r="F122" s="25">
        <v>6.4600000000000005E-2</v>
      </c>
      <c r="G122">
        <v>0.61599999999999999</v>
      </c>
      <c r="H122">
        <v>22.26</v>
      </c>
      <c r="I122">
        <v>4.3600000000000003</v>
      </c>
      <c r="J122">
        <v>-1.88</v>
      </c>
      <c r="K122">
        <v>6.7</v>
      </c>
      <c r="L122">
        <v>4.9000000000000004</v>
      </c>
      <c r="M122" s="25">
        <v>0.27900000000000003</v>
      </c>
      <c r="N122" s="25">
        <v>0.1726</v>
      </c>
      <c r="O122">
        <v>1.22</v>
      </c>
      <c r="P122" s="25">
        <v>0.1515</v>
      </c>
      <c r="Q122" s="25">
        <v>0.16800000000000001</v>
      </c>
      <c r="R122" s="26">
        <v>65540200</v>
      </c>
      <c r="S122" s="26">
        <v>8296170000</v>
      </c>
      <c r="T122">
        <v>0.72</v>
      </c>
      <c r="U122" s="25">
        <v>0.1081</v>
      </c>
    </row>
    <row r="123" spans="1:21" x14ac:dyDescent="0.25">
      <c r="A123" t="s">
        <v>238</v>
      </c>
      <c r="B123">
        <v>8.77</v>
      </c>
      <c r="C123">
        <v>-4.4400000000000004</v>
      </c>
      <c r="D123">
        <v>0.89</v>
      </c>
      <c r="E123">
        <v>0.25900000000000001</v>
      </c>
      <c r="F123" s="25">
        <v>6.2799999999999995E-2</v>
      </c>
      <c r="G123">
        <v>0.11700000000000001</v>
      </c>
      <c r="H123">
        <v>0.84</v>
      </c>
      <c r="I123">
        <v>1.99</v>
      </c>
      <c r="J123">
        <v>-0.24</v>
      </c>
      <c r="K123">
        <v>7.54</v>
      </c>
      <c r="L123">
        <v>4.53</v>
      </c>
      <c r="M123" s="25">
        <v>0.1305</v>
      </c>
      <c r="N123" s="25">
        <v>-3.9899999999999998E-2</v>
      </c>
      <c r="O123">
        <v>1.64</v>
      </c>
      <c r="P123" s="25">
        <v>8.1000000000000003E-2</v>
      </c>
      <c r="Q123" s="25">
        <v>-0.20030000000000001</v>
      </c>
      <c r="R123" s="26">
        <v>75278500</v>
      </c>
      <c r="S123" s="26">
        <v>13083900000</v>
      </c>
      <c r="T123">
        <v>4.07</v>
      </c>
      <c r="U123" s="25">
        <v>3.2500000000000001E-2</v>
      </c>
    </row>
    <row r="124" spans="1:21" x14ac:dyDescent="0.25">
      <c r="A124" t="s">
        <v>31</v>
      </c>
      <c r="B124">
        <v>17.399999999999999</v>
      </c>
      <c r="C124">
        <v>7.96</v>
      </c>
      <c r="D124">
        <v>1.47</v>
      </c>
      <c r="E124">
        <v>1.256</v>
      </c>
      <c r="F124" s="25">
        <v>6.4799999999999996E-2</v>
      </c>
      <c r="G124">
        <v>1.026</v>
      </c>
      <c r="H124">
        <v>16.600000000000001</v>
      </c>
      <c r="I124">
        <v>5.86</v>
      </c>
      <c r="J124">
        <v>-117.78</v>
      </c>
      <c r="K124">
        <v>5.74</v>
      </c>
      <c r="L124">
        <v>3.83</v>
      </c>
      <c r="M124" s="25">
        <v>0.2142</v>
      </c>
      <c r="N124" s="25">
        <v>0.1578</v>
      </c>
      <c r="O124">
        <v>1.27</v>
      </c>
      <c r="P124" s="25">
        <v>0.21060000000000001</v>
      </c>
      <c r="Q124" s="25">
        <v>0.1847</v>
      </c>
      <c r="R124" s="26">
        <v>538120</v>
      </c>
      <c r="S124" s="26">
        <v>494617000</v>
      </c>
      <c r="T124">
        <v>0.13</v>
      </c>
      <c r="U124" s="25">
        <v>4.7100000000000003E-2</v>
      </c>
    </row>
    <row r="125" spans="1:21" x14ac:dyDescent="0.25">
      <c r="A125" t="s">
        <v>498</v>
      </c>
      <c r="B125">
        <v>1.07</v>
      </c>
      <c r="C125">
        <v>-0.18</v>
      </c>
      <c r="D125">
        <v>0.27</v>
      </c>
      <c r="E125">
        <v>7.2999999999999995E-2</v>
      </c>
      <c r="F125" s="25">
        <v>0</v>
      </c>
      <c r="G125">
        <v>2.5999999999999999E-2</v>
      </c>
      <c r="H125">
        <v>-0.1</v>
      </c>
      <c r="I125">
        <v>-0.53</v>
      </c>
      <c r="J125">
        <v>-0.03</v>
      </c>
      <c r="K125">
        <v>-3.44</v>
      </c>
      <c r="L125">
        <v>-17.52</v>
      </c>
      <c r="M125" s="25">
        <v>-0.1366</v>
      </c>
      <c r="N125" s="25">
        <v>-0.41139999999999999</v>
      </c>
      <c r="O125">
        <v>0.38</v>
      </c>
      <c r="P125" s="25">
        <v>-5.28E-2</v>
      </c>
      <c r="Q125" s="25">
        <v>-1.5024</v>
      </c>
      <c r="R125" s="26">
        <v>13526.8</v>
      </c>
      <c r="S125" s="26">
        <v>107351000</v>
      </c>
      <c r="T125">
        <v>2.09</v>
      </c>
      <c r="U125" s="25">
        <v>-0.25879999999999997</v>
      </c>
    </row>
    <row r="126" spans="1:21" x14ac:dyDescent="0.25">
      <c r="A126" t="s">
        <v>370</v>
      </c>
      <c r="B126">
        <v>34.18</v>
      </c>
      <c r="C126">
        <v>1.77</v>
      </c>
      <c r="D126">
        <v>11.43</v>
      </c>
      <c r="E126">
        <v>0.29799999999999999</v>
      </c>
      <c r="F126" s="25">
        <v>0</v>
      </c>
      <c r="G126">
        <v>0.3</v>
      </c>
      <c r="H126">
        <v>0.98</v>
      </c>
      <c r="I126">
        <v>2.4900000000000002</v>
      </c>
      <c r="J126">
        <v>-0.94</v>
      </c>
      <c r="K126">
        <v>6.86</v>
      </c>
      <c r="L126">
        <v>5.57</v>
      </c>
      <c r="M126" s="25">
        <v>0.11940000000000001</v>
      </c>
      <c r="N126" s="25">
        <v>0.1686</v>
      </c>
      <c r="O126">
        <v>1.87</v>
      </c>
      <c r="P126" s="25">
        <v>0.1578</v>
      </c>
      <c r="Q126" s="25">
        <v>6.4744000000000002</v>
      </c>
      <c r="R126" s="26">
        <v>256.12</v>
      </c>
      <c r="S126" s="26">
        <v>18555000</v>
      </c>
      <c r="T126">
        <v>23.99</v>
      </c>
      <c r="U126" s="25">
        <v>0.13420000000000001</v>
      </c>
    </row>
    <row r="127" spans="1:21" x14ac:dyDescent="0.25">
      <c r="A127" t="s">
        <v>371</v>
      </c>
      <c r="B127">
        <v>34.99</v>
      </c>
      <c r="C127">
        <v>1.81</v>
      </c>
      <c r="D127">
        <v>11.7</v>
      </c>
      <c r="E127">
        <v>0.30499999999999999</v>
      </c>
      <c r="F127" s="25">
        <v>0</v>
      </c>
      <c r="G127">
        <v>0.307</v>
      </c>
      <c r="H127">
        <v>1.01</v>
      </c>
      <c r="I127">
        <v>2.5499999999999998</v>
      </c>
      <c r="J127">
        <v>-0.96</v>
      </c>
      <c r="K127">
        <v>6.92</v>
      </c>
      <c r="L127">
        <v>5.62</v>
      </c>
      <c r="M127" s="25">
        <v>0.11940000000000001</v>
      </c>
      <c r="N127" s="25">
        <v>0.1686</v>
      </c>
      <c r="O127">
        <v>1.87</v>
      </c>
      <c r="P127" s="25">
        <v>0.1578</v>
      </c>
      <c r="Q127" s="25">
        <v>6.4744000000000002</v>
      </c>
      <c r="R127" s="26">
        <v>8873.17</v>
      </c>
      <c r="S127" s="26">
        <v>18555000</v>
      </c>
      <c r="T127">
        <v>23.99</v>
      </c>
      <c r="U127" s="25">
        <v>0.13420000000000001</v>
      </c>
    </row>
    <row r="128" spans="1:21" x14ac:dyDescent="0.25">
      <c r="A128" t="s">
        <v>372</v>
      </c>
      <c r="B128">
        <v>2.87</v>
      </c>
      <c r="C128">
        <v>-0.16</v>
      </c>
      <c r="D128">
        <v>0.15</v>
      </c>
      <c r="E128">
        <v>0.20300000000000001</v>
      </c>
      <c r="F128" s="25">
        <v>0</v>
      </c>
      <c r="G128">
        <v>3.4000000000000002E-2</v>
      </c>
      <c r="H128">
        <v>-0.09</v>
      </c>
      <c r="I128">
        <v>-0.28999999999999998</v>
      </c>
      <c r="J128">
        <v>-0.05</v>
      </c>
      <c r="K128">
        <v>-3.38</v>
      </c>
      <c r="L128">
        <v>-3.99</v>
      </c>
      <c r="M128" s="25">
        <v>-0.69220000000000004</v>
      </c>
      <c r="N128" s="25">
        <v>-1.246</v>
      </c>
      <c r="O128">
        <v>0.3</v>
      </c>
      <c r="P128" s="25">
        <v>-0.13220000000000001</v>
      </c>
      <c r="Q128" s="25">
        <v>-0.93740000000000001</v>
      </c>
      <c r="R128" s="26">
        <v>1637.5</v>
      </c>
      <c r="S128" s="26">
        <v>130725000</v>
      </c>
      <c r="T128">
        <v>1.66</v>
      </c>
      <c r="U128" s="25">
        <v>-0.34389999999999998</v>
      </c>
    </row>
    <row r="129" spans="1:21" x14ac:dyDescent="0.25">
      <c r="A129" t="s">
        <v>373</v>
      </c>
      <c r="B129">
        <v>2.6</v>
      </c>
      <c r="C129">
        <v>-0.15</v>
      </c>
      <c r="D129">
        <v>0.14000000000000001</v>
      </c>
      <c r="E129">
        <v>0.184</v>
      </c>
      <c r="F129" s="25">
        <v>0</v>
      </c>
      <c r="G129">
        <v>3.1E-2</v>
      </c>
      <c r="H129">
        <v>-0.09</v>
      </c>
      <c r="I129">
        <v>-0.27</v>
      </c>
      <c r="J129">
        <v>-0.05</v>
      </c>
      <c r="K129">
        <v>-3.35</v>
      </c>
      <c r="L129">
        <v>-3.95</v>
      </c>
      <c r="M129" s="25">
        <v>-0.69220000000000004</v>
      </c>
      <c r="N129" s="25">
        <v>-1.246</v>
      </c>
      <c r="O129">
        <v>0.3</v>
      </c>
      <c r="P129" s="25">
        <v>-0.13220000000000001</v>
      </c>
      <c r="Q129" s="25">
        <v>-0.93740000000000001</v>
      </c>
      <c r="R129" s="26">
        <v>4764.6899999999996</v>
      </c>
      <c r="S129" s="26">
        <v>130725000</v>
      </c>
      <c r="T129">
        <v>1.66</v>
      </c>
      <c r="U129" s="25">
        <v>-0.34389999999999998</v>
      </c>
    </row>
    <row r="130" spans="1:21" x14ac:dyDescent="0.25">
      <c r="A130" t="s">
        <v>114</v>
      </c>
      <c r="B130">
        <v>29.18</v>
      </c>
      <c r="C130">
        <v>11.8</v>
      </c>
      <c r="D130">
        <v>7.51</v>
      </c>
      <c r="E130">
        <v>1.978</v>
      </c>
      <c r="F130" s="25">
        <v>4.1599999999999998E-2</v>
      </c>
      <c r="G130">
        <v>1.7490000000000001</v>
      </c>
      <c r="H130">
        <v>5.01</v>
      </c>
      <c r="I130">
        <v>8.39</v>
      </c>
      <c r="J130">
        <v>-18.48</v>
      </c>
      <c r="K130">
        <v>8.1300000000000008</v>
      </c>
      <c r="L130">
        <v>7.88</v>
      </c>
      <c r="M130" s="25">
        <v>0.2359</v>
      </c>
      <c r="N130" s="25">
        <v>0.18079999999999999</v>
      </c>
      <c r="O130">
        <v>2.2599999999999998</v>
      </c>
      <c r="P130" s="25">
        <v>0.33079999999999998</v>
      </c>
      <c r="Q130" s="25">
        <v>0.63680000000000003</v>
      </c>
      <c r="R130" s="26">
        <v>61055000</v>
      </c>
      <c r="S130" s="26">
        <v>1133950000</v>
      </c>
      <c r="T130">
        <v>1.1299999999999999</v>
      </c>
      <c r="U130" s="25">
        <v>0.34849999999999998</v>
      </c>
    </row>
    <row r="131" spans="1:21" x14ac:dyDescent="0.25">
      <c r="A131" t="s">
        <v>71</v>
      </c>
      <c r="B131">
        <v>2.4300000000000002</v>
      </c>
      <c r="C131">
        <v>-16.72</v>
      </c>
      <c r="D131">
        <v>2.46</v>
      </c>
      <c r="E131">
        <v>0.88500000000000001</v>
      </c>
      <c r="F131" s="25">
        <v>0</v>
      </c>
      <c r="G131">
        <v>0.34200000000000003</v>
      </c>
      <c r="H131">
        <v>-4.22</v>
      </c>
      <c r="I131">
        <v>11.12</v>
      </c>
      <c r="J131">
        <v>-1.21</v>
      </c>
      <c r="K131">
        <v>12.55</v>
      </c>
      <c r="L131">
        <v>4.25</v>
      </c>
      <c r="M131" s="25">
        <v>7.9600000000000004E-2</v>
      </c>
      <c r="N131" s="25">
        <v>-5.2900000000000003E-2</v>
      </c>
      <c r="O131">
        <v>0.88</v>
      </c>
      <c r="P131" s="25">
        <v>4.1700000000000001E-2</v>
      </c>
      <c r="Q131" s="25">
        <v>-0.1472</v>
      </c>
      <c r="R131" s="26">
        <v>27548000</v>
      </c>
      <c r="S131" s="26">
        <v>519227000</v>
      </c>
      <c r="T131">
        <v>1.0900000000000001</v>
      </c>
      <c r="U131" s="25">
        <v>0.35599999999999998</v>
      </c>
    </row>
    <row r="132" spans="1:21" x14ac:dyDescent="0.25">
      <c r="A132" t="s">
        <v>56</v>
      </c>
      <c r="B132">
        <v>13.73</v>
      </c>
      <c r="C132">
        <v>10.4</v>
      </c>
      <c r="D132">
        <v>2.94</v>
      </c>
      <c r="E132">
        <v>0</v>
      </c>
      <c r="F132" s="25">
        <v>8.3500000000000005E-2</v>
      </c>
      <c r="G132">
        <v>2.89</v>
      </c>
      <c r="H132">
        <v>22.69</v>
      </c>
      <c r="I132">
        <v>-321.58</v>
      </c>
      <c r="J132">
        <v>22.74</v>
      </c>
      <c r="K132">
        <v>-312.17</v>
      </c>
      <c r="L132">
        <v>-312.19</v>
      </c>
      <c r="M132" s="25">
        <v>0</v>
      </c>
      <c r="N132" s="25">
        <v>0</v>
      </c>
      <c r="O132">
        <v>9.32</v>
      </c>
      <c r="P132" s="25">
        <v>-9.7999999999999997E-3</v>
      </c>
      <c r="Q132" s="25">
        <v>0.28220000000000001</v>
      </c>
      <c r="R132" s="26">
        <v>67118100</v>
      </c>
      <c r="S132" s="26">
        <v>14032600000</v>
      </c>
      <c r="T132">
        <v>0</v>
      </c>
      <c r="U132" s="25">
        <v>0</v>
      </c>
    </row>
    <row r="133" spans="1:21" x14ac:dyDescent="0.25">
      <c r="A133" t="s">
        <v>55</v>
      </c>
      <c r="B133">
        <v>25.94</v>
      </c>
      <c r="C133">
        <v>5.83</v>
      </c>
      <c r="D133">
        <v>1.07</v>
      </c>
      <c r="E133">
        <v>1.194</v>
      </c>
      <c r="F133" s="25">
        <v>4.1200000000000001E-2</v>
      </c>
      <c r="G133">
        <v>0.45600000000000002</v>
      </c>
      <c r="H133">
        <v>1.1399999999999999</v>
      </c>
      <c r="I133">
        <v>6.5</v>
      </c>
      <c r="J133">
        <v>10.44</v>
      </c>
      <c r="K133">
        <v>8.4600000000000009</v>
      </c>
      <c r="L133">
        <v>8.0299999999999994</v>
      </c>
      <c r="M133" s="25">
        <v>0.18360000000000001</v>
      </c>
      <c r="N133" s="25">
        <v>0.17449999999999999</v>
      </c>
      <c r="O133">
        <v>3.36</v>
      </c>
      <c r="P133" s="25">
        <v>8.2600000000000007E-2</v>
      </c>
      <c r="Q133" s="25">
        <v>0.18279999999999999</v>
      </c>
      <c r="R133" s="26">
        <v>117289000</v>
      </c>
      <c r="S133" s="26">
        <v>9350230000</v>
      </c>
      <c r="T133">
        <v>0.64</v>
      </c>
      <c r="U133" s="25">
        <v>0.18590000000000001</v>
      </c>
    </row>
    <row r="134" spans="1:21" x14ac:dyDescent="0.25">
      <c r="A134" t="s">
        <v>255</v>
      </c>
      <c r="B134">
        <v>1.22</v>
      </c>
      <c r="C134">
        <v>-1.35</v>
      </c>
      <c r="D134">
        <v>0.2</v>
      </c>
      <c r="E134">
        <v>9.9000000000000005E-2</v>
      </c>
      <c r="F134" s="25">
        <v>0</v>
      </c>
      <c r="G134">
        <v>5.3999999999999999E-2</v>
      </c>
      <c r="H134">
        <v>0.31</v>
      </c>
      <c r="I134">
        <v>1.42</v>
      </c>
      <c r="J134">
        <v>-0.15</v>
      </c>
      <c r="K134">
        <v>9.83</v>
      </c>
      <c r="L134">
        <v>4.33</v>
      </c>
      <c r="M134" s="25">
        <v>6.9699999999999998E-2</v>
      </c>
      <c r="N134" s="25">
        <v>-7.3400000000000007E-2</v>
      </c>
      <c r="O134">
        <v>1.92</v>
      </c>
      <c r="P134" s="25">
        <v>4.6100000000000002E-2</v>
      </c>
      <c r="Q134" s="25">
        <v>-0.14549999999999999</v>
      </c>
      <c r="R134" s="26">
        <v>1402640</v>
      </c>
      <c r="S134" s="26">
        <v>7813960000</v>
      </c>
      <c r="T134">
        <v>1.61</v>
      </c>
      <c r="U134" s="25">
        <v>0.1711</v>
      </c>
    </row>
    <row r="135" spans="1:21" x14ac:dyDescent="0.25">
      <c r="A135" t="s">
        <v>107</v>
      </c>
      <c r="B135">
        <v>8.26</v>
      </c>
      <c r="C135">
        <v>10.6</v>
      </c>
      <c r="D135">
        <v>0.7</v>
      </c>
      <c r="E135">
        <v>0.82899999999999996</v>
      </c>
      <c r="F135" s="25">
        <v>4.4999999999999997E-3</v>
      </c>
      <c r="G135">
        <v>0.26700000000000002</v>
      </c>
      <c r="H135">
        <v>5.74</v>
      </c>
      <c r="I135">
        <v>2.82</v>
      </c>
      <c r="J135">
        <v>-0.61</v>
      </c>
      <c r="K135">
        <v>5.93</v>
      </c>
      <c r="L135">
        <v>3.56</v>
      </c>
      <c r="M135" s="25">
        <v>0.29360000000000003</v>
      </c>
      <c r="N135" s="25">
        <v>8.7300000000000003E-2</v>
      </c>
      <c r="O135">
        <v>1.37</v>
      </c>
      <c r="P135" s="25">
        <v>0.108</v>
      </c>
      <c r="Q135" s="25">
        <v>6.59E-2</v>
      </c>
      <c r="R135" s="26">
        <v>1546730</v>
      </c>
      <c r="S135" s="26">
        <v>1369920000</v>
      </c>
      <c r="T135">
        <v>1.02</v>
      </c>
      <c r="U135" s="25">
        <v>0.36709999999999998</v>
      </c>
    </row>
    <row r="136" spans="1:21" x14ac:dyDescent="0.25">
      <c r="A136" t="s">
        <v>58</v>
      </c>
      <c r="B136">
        <v>8.83</v>
      </c>
      <c r="C136">
        <v>6.17</v>
      </c>
      <c r="D136">
        <v>0.97</v>
      </c>
      <c r="E136">
        <v>0.47699999999999998</v>
      </c>
      <c r="F136" s="25">
        <v>5.96E-2</v>
      </c>
      <c r="G136">
        <v>0.59399999999999997</v>
      </c>
      <c r="H136">
        <v>1.35</v>
      </c>
      <c r="I136">
        <v>6.2</v>
      </c>
      <c r="J136">
        <v>2.19</v>
      </c>
      <c r="K136">
        <v>5.97</v>
      </c>
      <c r="L136">
        <v>4.9400000000000004</v>
      </c>
      <c r="M136" s="25">
        <v>7.6899999999999996E-2</v>
      </c>
      <c r="N136" s="25">
        <v>7.9000000000000001E-2</v>
      </c>
      <c r="O136">
        <v>3.06</v>
      </c>
      <c r="P136" s="25">
        <v>0.13239999999999999</v>
      </c>
      <c r="Q136" s="25">
        <v>0.15640000000000001</v>
      </c>
      <c r="R136" s="26">
        <v>788774</v>
      </c>
      <c r="S136" s="26">
        <v>999766000</v>
      </c>
      <c r="T136">
        <v>0.24</v>
      </c>
      <c r="U136" s="25">
        <v>0.1051</v>
      </c>
    </row>
    <row r="137" spans="1:21" x14ac:dyDescent="0.25">
      <c r="A137" t="s">
        <v>374</v>
      </c>
      <c r="B137">
        <v>8.59</v>
      </c>
      <c r="C137">
        <v>6</v>
      </c>
      <c r="D137">
        <v>0.94</v>
      </c>
      <c r="E137">
        <v>0.46400000000000002</v>
      </c>
      <c r="F137" s="25">
        <v>6.2600000000000003E-2</v>
      </c>
      <c r="G137">
        <v>0.57799999999999996</v>
      </c>
      <c r="H137">
        <v>1.31</v>
      </c>
      <c r="I137">
        <v>6.03</v>
      </c>
      <c r="J137">
        <v>2.13</v>
      </c>
      <c r="K137">
        <v>5.8</v>
      </c>
      <c r="L137">
        <v>4.8</v>
      </c>
      <c r="M137" s="25">
        <v>7.6899999999999996E-2</v>
      </c>
      <c r="N137" s="25">
        <v>7.9000000000000001E-2</v>
      </c>
      <c r="O137">
        <v>3.06</v>
      </c>
      <c r="P137" s="25">
        <v>0.13239999999999999</v>
      </c>
      <c r="Q137" s="25">
        <v>0.15640000000000001</v>
      </c>
      <c r="R137" s="26">
        <v>52577.1</v>
      </c>
      <c r="S137" s="26">
        <v>999766000</v>
      </c>
      <c r="T137">
        <v>0.24</v>
      </c>
      <c r="U137" s="25">
        <v>0.1051</v>
      </c>
    </row>
    <row r="138" spans="1:21" x14ac:dyDescent="0.25">
      <c r="A138" t="s">
        <v>120</v>
      </c>
      <c r="B138">
        <v>39.5</v>
      </c>
      <c r="C138">
        <v>10.5</v>
      </c>
      <c r="D138">
        <v>3.15</v>
      </c>
      <c r="E138">
        <v>1.9179999999999999</v>
      </c>
      <c r="F138" s="25">
        <v>9.4399999999999998E-2</v>
      </c>
      <c r="G138">
        <v>0.64600000000000002</v>
      </c>
      <c r="H138">
        <v>1.98</v>
      </c>
      <c r="I138">
        <v>8.66</v>
      </c>
      <c r="J138">
        <v>-1.93</v>
      </c>
      <c r="K138">
        <v>9.11</v>
      </c>
      <c r="L138">
        <v>8.35</v>
      </c>
      <c r="M138" s="25">
        <v>0.22140000000000001</v>
      </c>
      <c r="N138" s="25">
        <v>0.2099</v>
      </c>
      <c r="O138">
        <v>3.82</v>
      </c>
      <c r="P138" s="25">
        <v>8.9499999999999996E-2</v>
      </c>
      <c r="Q138" s="25">
        <v>0.29959999999999998</v>
      </c>
      <c r="R138" s="26">
        <v>65122800</v>
      </c>
      <c r="S138" s="26">
        <v>2178390000</v>
      </c>
      <c r="T138">
        <v>0.91</v>
      </c>
      <c r="U138" s="25">
        <v>0.2064</v>
      </c>
    </row>
    <row r="139" spans="1:21" x14ac:dyDescent="0.25">
      <c r="A139" t="s">
        <v>9</v>
      </c>
      <c r="B139">
        <v>4.71</v>
      </c>
      <c r="C139">
        <v>9.5500000000000007</v>
      </c>
      <c r="D139">
        <v>0.27</v>
      </c>
      <c r="E139">
        <v>0.106</v>
      </c>
      <c r="F139" s="25">
        <v>0</v>
      </c>
      <c r="G139">
        <v>0.13</v>
      </c>
      <c r="H139">
        <v>5.65</v>
      </c>
      <c r="I139">
        <v>3.77</v>
      </c>
      <c r="J139">
        <v>-0.66</v>
      </c>
      <c r="K139">
        <v>3.83</v>
      </c>
      <c r="L139">
        <v>1.31</v>
      </c>
      <c r="M139" s="25">
        <v>2.8199999999999999E-2</v>
      </c>
      <c r="N139" s="25">
        <v>1.11E-2</v>
      </c>
      <c r="O139">
        <v>1.08</v>
      </c>
      <c r="P139" s="25">
        <v>4.3799999999999999E-2</v>
      </c>
      <c r="Q139" s="25">
        <v>2.7799999999999998E-2</v>
      </c>
      <c r="R139" s="26">
        <v>319613</v>
      </c>
      <c r="S139" s="26">
        <v>896843000</v>
      </c>
      <c r="T139">
        <v>0.04</v>
      </c>
      <c r="U139" s="25">
        <v>0.23039999999999999</v>
      </c>
    </row>
    <row r="140" spans="1:21" x14ac:dyDescent="0.25">
      <c r="A140" t="s">
        <v>375</v>
      </c>
      <c r="B140">
        <v>6.51</v>
      </c>
      <c r="C140">
        <v>-117.73</v>
      </c>
      <c r="D140">
        <v>0.71</v>
      </c>
      <c r="E140">
        <v>0.77</v>
      </c>
      <c r="F140" s="25">
        <v>1.5E-3</v>
      </c>
      <c r="G140">
        <v>0.495</v>
      </c>
      <c r="H140">
        <v>1.03</v>
      </c>
      <c r="I140">
        <v>-15.12</v>
      </c>
      <c r="J140">
        <v>1.83</v>
      </c>
      <c r="K140">
        <v>-17.440000000000001</v>
      </c>
      <c r="L140">
        <v>-51.74</v>
      </c>
      <c r="M140" s="25">
        <v>-5.0900000000000001E-2</v>
      </c>
      <c r="N140" s="25">
        <v>-6.4999999999999997E-3</v>
      </c>
      <c r="O140">
        <v>6</v>
      </c>
      <c r="P140" s="25">
        <v>-3.6600000000000001E-2</v>
      </c>
      <c r="Q140" s="25">
        <v>-6.0000000000000001E-3</v>
      </c>
      <c r="R140" s="26">
        <v>60.88</v>
      </c>
      <c r="S140" s="26">
        <v>693418000</v>
      </c>
      <c r="T140">
        <v>0.22</v>
      </c>
      <c r="U140" s="25">
        <v>7.3000000000000001E-3</v>
      </c>
    </row>
    <row r="141" spans="1:21" x14ac:dyDescent="0.25">
      <c r="A141" t="s">
        <v>134</v>
      </c>
      <c r="B141">
        <v>4.29</v>
      </c>
      <c r="C141">
        <v>-77.58</v>
      </c>
      <c r="D141">
        <v>0.47</v>
      </c>
      <c r="E141">
        <v>0.50700000000000001</v>
      </c>
      <c r="F141" s="25">
        <v>2.5999999999999999E-3</v>
      </c>
      <c r="G141">
        <v>0.32600000000000001</v>
      </c>
      <c r="H141">
        <v>0.68</v>
      </c>
      <c r="I141">
        <v>-9.9600000000000009</v>
      </c>
      <c r="J141">
        <v>1.2</v>
      </c>
      <c r="K141">
        <v>-12.29</v>
      </c>
      <c r="L141">
        <v>-36.450000000000003</v>
      </c>
      <c r="M141" s="25">
        <v>-5.0900000000000001E-2</v>
      </c>
      <c r="N141" s="25">
        <v>-6.4999999999999997E-3</v>
      </c>
      <c r="O141">
        <v>6</v>
      </c>
      <c r="P141" s="25">
        <v>-3.6600000000000001E-2</v>
      </c>
      <c r="Q141" s="25">
        <v>-6.0000000000000001E-3</v>
      </c>
      <c r="R141" s="26">
        <v>3539.88</v>
      </c>
      <c r="S141" s="26">
        <v>693418000</v>
      </c>
      <c r="T141">
        <v>0.22</v>
      </c>
      <c r="U141" s="25">
        <v>7.3000000000000001E-3</v>
      </c>
    </row>
    <row r="142" spans="1:21" x14ac:dyDescent="0.25">
      <c r="A142" t="s">
        <v>259</v>
      </c>
      <c r="B142">
        <v>5</v>
      </c>
      <c r="C142">
        <v>-9.15</v>
      </c>
      <c r="D142">
        <v>-0.27</v>
      </c>
      <c r="E142">
        <v>0.41</v>
      </c>
      <c r="F142" s="25">
        <v>0</v>
      </c>
      <c r="G142">
        <v>0.35299999999999998</v>
      </c>
      <c r="H142">
        <v>-0.3</v>
      </c>
      <c r="I142">
        <v>9.65</v>
      </c>
      <c r="J142">
        <v>-0.18</v>
      </c>
      <c r="K142">
        <v>14.34</v>
      </c>
      <c r="L142">
        <v>2.74</v>
      </c>
      <c r="M142" s="25">
        <v>4.2500000000000003E-2</v>
      </c>
      <c r="N142" s="25">
        <v>-4.48E-2</v>
      </c>
      <c r="O142">
        <v>0.23</v>
      </c>
      <c r="P142" s="25">
        <v>5.8299999999999998E-2</v>
      </c>
      <c r="Q142" s="25">
        <v>2.9399999999999999E-2</v>
      </c>
      <c r="R142" s="26">
        <v>119218</v>
      </c>
      <c r="S142" s="26">
        <v>-247366000</v>
      </c>
      <c r="T142">
        <v>-0.23</v>
      </c>
      <c r="U142" s="25">
        <v>7.1099999999999997E-2</v>
      </c>
    </row>
    <row r="143" spans="1:21" x14ac:dyDescent="0.25">
      <c r="A143" t="s">
        <v>376</v>
      </c>
      <c r="B143">
        <v>3.05</v>
      </c>
      <c r="C143">
        <v>-39.29</v>
      </c>
      <c r="D143">
        <v>29.83</v>
      </c>
      <c r="E143">
        <v>5.5419999999999998</v>
      </c>
      <c r="F143" s="25">
        <v>0</v>
      </c>
      <c r="G143">
        <v>4.1269999999999998</v>
      </c>
      <c r="H143">
        <v>9.31</v>
      </c>
      <c r="I143">
        <v>-40.85</v>
      </c>
      <c r="J143">
        <v>84.87</v>
      </c>
      <c r="K143">
        <v>-39.549999999999997</v>
      </c>
      <c r="L143">
        <v>-262.93</v>
      </c>
      <c r="M143" s="25">
        <v>-0.13569999999999999</v>
      </c>
      <c r="N143" s="25">
        <v>-0.14099999999999999</v>
      </c>
      <c r="O143">
        <v>1.95</v>
      </c>
      <c r="P143" s="25">
        <v>-0.1195</v>
      </c>
      <c r="Q143" s="25">
        <v>-0.75919999999999999</v>
      </c>
      <c r="R143" s="26">
        <v>3982.88</v>
      </c>
      <c r="S143" s="26">
        <v>1138000</v>
      </c>
      <c r="T143">
        <v>0</v>
      </c>
      <c r="U143" s="25">
        <v>-0.16789999999999999</v>
      </c>
    </row>
    <row r="144" spans="1:21" x14ac:dyDescent="0.25">
      <c r="A144" t="s">
        <v>149</v>
      </c>
      <c r="B144">
        <v>5.4</v>
      </c>
      <c r="C144">
        <v>17.190000000000001</v>
      </c>
      <c r="D144">
        <v>0.64</v>
      </c>
      <c r="E144">
        <v>0.54</v>
      </c>
      <c r="F144" s="25">
        <v>9.9000000000000008E-3</v>
      </c>
      <c r="G144">
        <v>0.246</v>
      </c>
      <c r="H144">
        <v>3.39</v>
      </c>
      <c r="I144">
        <v>5.65</v>
      </c>
      <c r="J144">
        <v>-0.73</v>
      </c>
      <c r="K144">
        <v>12.06</v>
      </c>
      <c r="L144">
        <v>4.75</v>
      </c>
      <c r="M144" s="25">
        <v>9.5699999999999993E-2</v>
      </c>
      <c r="N144" s="25">
        <v>3.27E-2</v>
      </c>
      <c r="O144">
        <v>1.37</v>
      </c>
      <c r="P144" s="25">
        <v>5.11E-2</v>
      </c>
      <c r="Q144" s="25">
        <v>3.7499999999999999E-2</v>
      </c>
      <c r="R144" s="26">
        <v>15218400</v>
      </c>
      <c r="S144" s="26">
        <v>6872730000</v>
      </c>
      <c r="T144">
        <v>0.95</v>
      </c>
      <c r="U144" s="25">
        <v>3.61E-2</v>
      </c>
    </row>
    <row r="145" spans="1:21" x14ac:dyDescent="0.25">
      <c r="A145" t="s">
        <v>377</v>
      </c>
      <c r="B145">
        <v>15.18</v>
      </c>
      <c r="C145">
        <v>3.6</v>
      </c>
      <c r="D145">
        <v>1.01</v>
      </c>
      <c r="E145">
        <v>0.58099999999999996</v>
      </c>
      <c r="F145" s="25">
        <v>3.78E-2</v>
      </c>
      <c r="G145">
        <v>0.53</v>
      </c>
      <c r="H145">
        <v>5.74</v>
      </c>
      <c r="I145">
        <v>3.65</v>
      </c>
      <c r="J145">
        <v>-10.93</v>
      </c>
      <c r="K145">
        <v>4.7</v>
      </c>
      <c r="L145">
        <v>3.74</v>
      </c>
      <c r="M145" s="25">
        <v>0.15939999999999999</v>
      </c>
      <c r="N145" s="25">
        <v>0.1613</v>
      </c>
      <c r="O145">
        <v>1.27</v>
      </c>
      <c r="P145" s="25">
        <v>0.15529999999999999</v>
      </c>
      <c r="Q145" s="25">
        <v>0.28110000000000002</v>
      </c>
      <c r="R145" s="26">
        <v>16456.099999999999</v>
      </c>
      <c r="S145" s="26">
        <v>337052000</v>
      </c>
      <c r="T145">
        <v>0.32</v>
      </c>
      <c r="U145" s="25">
        <v>0.1925</v>
      </c>
    </row>
    <row r="146" spans="1:21" x14ac:dyDescent="0.25">
      <c r="A146" t="s">
        <v>74</v>
      </c>
      <c r="B146">
        <v>13.88</v>
      </c>
      <c r="C146">
        <v>3.3</v>
      </c>
      <c r="D146">
        <v>0.93</v>
      </c>
      <c r="E146">
        <v>0.53200000000000003</v>
      </c>
      <c r="F146" s="25">
        <v>4.5400000000000003E-2</v>
      </c>
      <c r="G146">
        <v>0.48499999999999999</v>
      </c>
      <c r="H146">
        <v>5.25</v>
      </c>
      <c r="I146">
        <v>3.33</v>
      </c>
      <c r="J146">
        <v>-9.99</v>
      </c>
      <c r="K146">
        <v>4.3899999999999997</v>
      </c>
      <c r="L146">
        <v>3.49</v>
      </c>
      <c r="M146" s="25">
        <v>0.15939999999999999</v>
      </c>
      <c r="N146" s="25">
        <v>0.1613</v>
      </c>
      <c r="O146">
        <v>1.27</v>
      </c>
      <c r="P146" s="25">
        <v>0.15529999999999999</v>
      </c>
      <c r="Q146" s="25">
        <v>0.28110000000000002</v>
      </c>
      <c r="R146" s="26">
        <v>142277</v>
      </c>
      <c r="S146" s="26">
        <v>337052000</v>
      </c>
      <c r="T146">
        <v>0.32</v>
      </c>
      <c r="U146" s="25">
        <v>0.1925</v>
      </c>
    </row>
    <row r="147" spans="1:21" x14ac:dyDescent="0.25">
      <c r="A147" t="s">
        <v>192</v>
      </c>
      <c r="B147">
        <v>6.78</v>
      </c>
      <c r="C147">
        <v>5.76</v>
      </c>
      <c r="D147">
        <v>1.32</v>
      </c>
      <c r="E147">
        <v>0.46400000000000002</v>
      </c>
      <c r="F147" s="25">
        <v>0</v>
      </c>
      <c r="G147">
        <v>0.14599999999999999</v>
      </c>
      <c r="H147">
        <v>-9.1300000000000008</v>
      </c>
      <c r="I147">
        <v>1.3</v>
      </c>
      <c r="J147">
        <v>-0.2</v>
      </c>
      <c r="K147">
        <v>6.55</v>
      </c>
      <c r="L147">
        <v>5.0599999999999996</v>
      </c>
      <c r="M147" s="25">
        <v>0.35809999999999997</v>
      </c>
      <c r="N147" s="25">
        <v>7.9899999999999999E-2</v>
      </c>
      <c r="O147">
        <v>0.9</v>
      </c>
      <c r="P147" s="25">
        <v>0.12909999999999999</v>
      </c>
      <c r="Q147" s="25">
        <v>0.2293</v>
      </c>
      <c r="R147" s="26">
        <v>26853800</v>
      </c>
      <c r="S147" s="26">
        <v>3574010000</v>
      </c>
      <c r="T147">
        <v>6.44</v>
      </c>
      <c r="U147" s="25">
        <v>0.28670000000000001</v>
      </c>
    </row>
    <row r="148" spans="1:21" x14ac:dyDescent="0.25">
      <c r="A148" t="s">
        <v>78</v>
      </c>
      <c r="B148">
        <v>42.53</v>
      </c>
      <c r="C148">
        <v>10.32</v>
      </c>
      <c r="D148">
        <v>2.87</v>
      </c>
      <c r="E148">
        <v>2.9860000000000002</v>
      </c>
      <c r="F148" s="25">
        <v>5.4699999999999999E-2</v>
      </c>
      <c r="G148">
        <v>0.65800000000000003</v>
      </c>
      <c r="H148">
        <v>18.29</v>
      </c>
      <c r="I148">
        <v>6.05</v>
      </c>
      <c r="J148">
        <v>-1.1299999999999999</v>
      </c>
      <c r="K148">
        <v>9.59</v>
      </c>
      <c r="L148">
        <v>7.99</v>
      </c>
      <c r="M148" s="25">
        <v>0.49340000000000001</v>
      </c>
      <c r="N148" s="25">
        <v>0.2964</v>
      </c>
      <c r="O148">
        <v>1.27</v>
      </c>
      <c r="P148" s="25">
        <v>0.1239</v>
      </c>
      <c r="Q148" s="25">
        <v>0.27839999999999998</v>
      </c>
      <c r="R148" s="26">
        <v>65895800</v>
      </c>
      <c r="S148" s="26">
        <v>12083000000</v>
      </c>
      <c r="T148">
        <v>2.14</v>
      </c>
      <c r="U148" s="25">
        <v>-3.7199999999999997E-2</v>
      </c>
    </row>
    <row r="149" spans="1:21" x14ac:dyDescent="0.25">
      <c r="A149" t="s">
        <v>378</v>
      </c>
      <c r="B149">
        <v>45</v>
      </c>
      <c r="C149">
        <v>9.0399999999999991</v>
      </c>
      <c r="D149">
        <v>3.74</v>
      </c>
      <c r="E149">
        <v>0.91200000000000003</v>
      </c>
      <c r="F149" s="25">
        <v>0.152</v>
      </c>
      <c r="G149">
        <v>0.70899999999999996</v>
      </c>
      <c r="H149">
        <v>14.06</v>
      </c>
      <c r="I149">
        <v>3.8</v>
      </c>
      <c r="J149">
        <v>-1.29</v>
      </c>
      <c r="K149">
        <v>6.77</v>
      </c>
      <c r="L149">
        <v>5.73</v>
      </c>
      <c r="M149" s="25">
        <v>0.24</v>
      </c>
      <c r="N149" s="25">
        <v>0.1008</v>
      </c>
      <c r="O149">
        <v>1.24</v>
      </c>
      <c r="P149" s="25">
        <v>0.2097</v>
      </c>
      <c r="Q149" s="25">
        <v>0.41320000000000001</v>
      </c>
      <c r="R149" s="26">
        <v>2031</v>
      </c>
      <c r="S149" s="26">
        <v>2333000000</v>
      </c>
      <c r="T149">
        <v>3.18</v>
      </c>
      <c r="U149" s="25">
        <v>4.8800000000000003E-2</v>
      </c>
    </row>
    <row r="150" spans="1:21" x14ac:dyDescent="0.25">
      <c r="A150" t="s">
        <v>379</v>
      </c>
      <c r="B150">
        <v>53.04</v>
      </c>
      <c r="C150">
        <v>10.66</v>
      </c>
      <c r="D150">
        <v>4.41</v>
      </c>
      <c r="E150">
        <v>1.0740000000000001</v>
      </c>
      <c r="F150" s="25">
        <v>0.14180000000000001</v>
      </c>
      <c r="G150">
        <v>0.83599999999999997</v>
      </c>
      <c r="H150">
        <v>16.579999999999998</v>
      </c>
      <c r="I150">
        <v>4.4800000000000004</v>
      </c>
      <c r="J150">
        <v>-1.52</v>
      </c>
      <c r="K150">
        <v>7.45</v>
      </c>
      <c r="L150">
        <v>6.3</v>
      </c>
      <c r="M150" s="25">
        <v>0.24</v>
      </c>
      <c r="N150" s="25">
        <v>0.1008</v>
      </c>
      <c r="O150">
        <v>1.24</v>
      </c>
      <c r="P150" s="25">
        <v>0.2097</v>
      </c>
      <c r="Q150" s="25">
        <v>0.41320000000000001</v>
      </c>
      <c r="R150" s="26">
        <v>44251.6</v>
      </c>
      <c r="S150" s="26">
        <v>2333000000</v>
      </c>
      <c r="T150">
        <v>3.18</v>
      </c>
      <c r="U150" s="25">
        <v>4.8800000000000003E-2</v>
      </c>
    </row>
    <row r="151" spans="1:21" x14ac:dyDescent="0.25">
      <c r="A151" t="s">
        <v>118</v>
      </c>
      <c r="B151">
        <v>38.78</v>
      </c>
      <c r="C151">
        <v>9.23</v>
      </c>
      <c r="D151">
        <v>0.74</v>
      </c>
      <c r="E151">
        <v>2.1379999999999999</v>
      </c>
      <c r="F151" s="25">
        <v>4.53E-2</v>
      </c>
      <c r="G151">
        <v>0.317</v>
      </c>
      <c r="H151">
        <v>2.77</v>
      </c>
      <c r="I151">
        <v>6.35</v>
      </c>
      <c r="J151">
        <v>-0.87</v>
      </c>
      <c r="K151">
        <v>9.2100000000000009</v>
      </c>
      <c r="L151">
        <v>7.13</v>
      </c>
      <c r="M151" s="25">
        <v>0.33650000000000002</v>
      </c>
      <c r="N151" s="25">
        <v>0.23150000000000001</v>
      </c>
      <c r="O151">
        <v>2.29</v>
      </c>
      <c r="P151" s="25">
        <v>5.6599999999999998E-2</v>
      </c>
      <c r="Q151" s="25">
        <v>7.9799999999999996E-2</v>
      </c>
      <c r="R151" s="26">
        <v>246569000</v>
      </c>
      <c r="S151" s="26">
        <v>121494000000</v>
      </c>
      <c r="T151">
        <v>0.57999999999999996</v>
      </c>
      <c r="U151" s="25">
        <v>6.1199999999999997E-2</v>
      </c>
    </row>
    <row r="152" spans="1:21" x14ac:dyDescent="0.25">
      <c r="A152" t="s">
        <v>500</v>
      </c>
      <c r="B152">
        <v>82.5</v>
      </c>
      <c r="C152">
        <v>19.64</v>
      </c>
      <c r="D152">
        <v>1.57</v>
      </c>
      <c r="E152">
        <v>4.548</v>
      </c>
      <c r="F152" s="25">
        <v>0</v>
      </c>
      <c r="G152">
        <v>0.67500000000000004</v>
      </c>
      <c r="H152">
        <v>5.89</v>
      </c>
      <c r="I152">
        <v>13.52</v>
      </c>
      <c r="J152">
        <v>-1.85</v>
      </c>
      <c r="K152">
        <v>16.37</v>
      </c>
      <c r="L152">
        <v>12.68</v>
      </c>
      <c r="M152" s="25">
        <v>0.33650000000000002</v>
      </c>
      <c r="N152" s="25">
        <v>0.23150000000000001</v>
      </c>
      <c r="O152">
        <v>2.29</v>
      </c>
      <c r="P152" s="25">
        <v>5.6599999999999998E-2</v>
      </c>
      <c r="Q152" s="25">
        <v>7.9799999999999996E-2</v>
      </c>
      <c r="R152" s="26">
        <v>196.43</v>
      </c>
      <c r="S152" s="26">
        <v>121494000000</v>
      </c>
      <c r="T152">
        <v>0.57999999999999996</v>
      </c>
      <c r="U152" s="25">
        <v>6.1199999999999997E-2</v>
      </c>
    </row>
    <row r="153" spans="1:21" x14ac:dyDescent="0.25">
      <c r="A153" t="s">
        <v>380</v>
      </c>
      <c r="B153">
        <v>42.44</v>
      </c>
      <c r="C153">
        <v>10.1</v>
      </c>
      <c r="D153">
        <v>0.81</v>
      </c>
      <c r="E153">
        <v>2.34</v>
      </c>
      <c r="F153" s="25">
        <v>4.5499999999999999E-2</v>
      </c>
      <c r="G153">
        <v>0.34699999999999998</v>
      </c>
      <c r="H153">
        <v>3.03</v>
      </c>
      <c r="I153">
        <v>6.95</v>
      </c>
      <c r="J153">
        <v>-0.95</v>
      </c>
      <c r="K153">
        <v>9.81</v>
      </c>
      <c r="L153">
        <v>7.59</v>
      </c>
      <c r="M153" s="25">
        <v>0.33650000000000002</v>
      </c>
      <c r="N153" s="25">
        <v>0.23150000000000001</v>
      </c>
      <c r="O153">
        <v>2.29</v>
      </c>
      <c r="P153" s="25">
        <v>5.6599999999999998E-2</v>
      </c>
      <c r="Q153" s="25">
        <v>7.9799999999999996E-2</v>
      </c>
      <c r="R153" s="26">
        <v>47108600</v>
      </c>
      <c r="S153" s="26">
        <v>121494000000</v>
      </c>
      <c r="T153">
        <v>0.57999999999999996</v>
      </c>
      <c r="U153" s="25">
        <v>6.1199999999999997E-2</v>
      </c>
    </row>
    <row r="154" spans="1:21" x14ac:dyDescent="0.25">
      <c r="A154" t="s">
        <v>381</v>
      </c>
      <c r="B154">
        <v>31</v>
      </c>
      <c r="C154">
        <v>39.74</v>
      </c>
      <c r="D154">
        <v>4.53</v>
      </c>
      <c r="E154">
        <v>3.5550000000000002</v>
      </c>
      <c r="F154" s="25">
        <v>6.3E-3</v>
      </c>
      <c r="G154">
        <v>1.3939999999999999</v>
      </c>
      <c r="H154">
        <v>10.24</v>
      </c>
      <c r="I154">
        <v>13.53</v>
      </c>
      <c r="J154">
        <v>-4.49</v>
      </c>
      <c r="K154">
        <v>15.97</v>
      </c>
      <c r="L154">
        <v>11.64</v>
      </c>
      <c r="M154" s="25">
        <v>0.2626</v>
      </c>
      <c r="N154" s="25">
        <v>0.1144</v>
      </c>
      <c r="O154">
        <v>1.76</v>
      </c>
      <c r="P154" s="25">
        <v>0.13800000000000001</v>
      </c>
      <c r="Q154" s="25">
        <v>0.114</v>
      </c>
      <c r="R154" s="26">
        <v>330988</v>
      </c>
      <c r="S154" s="26">
        <v>983781000</v>
      </c>
      <c r="T154">
        <v>1.45</v>
      </c>
      <c r="U154" s="25">
        <v>0.52680000000000005</v>
      </c>
    </row>
    <row r="155" spans="1:21" x14ac:dyDescent="0.25">
      <c r="A155" t="s">
        <v>382</v>
      </c>
      <c r="B155">
        <v>29.35</v>
      </c>
      <c r="C155">
        <v>16.28</v>
      </c>
      <c r="D155">
        <v>0.88</v>
      </c>
      <c r="E155">
        <v>1.758</v>
      </c>
      <c r="F155" s="25">
        <v>2.86E-2</v>
      </c>
      <c r="G155">
        <v>0.504</v>
      </c>
      <c r="H155">
        <v>2.31</v>
      </c>
      <c r="I155">
        <v>13.74</v>
      </c>
      <c r="J155">
        <v>-3.73</v>
      </c>
      <c r="K155">
        <v>10.37</v>
      </c>
      <c r="L155">
        <v>9.15</v>
      </c>
      <c r="M155" s="25">
        <v>0.128</v>
      </c>
      <c r="N155" s="25">
        <v>0.108</v>
      </c>
      <c r="O155">
        <v>3.91</v>
      </c>
      <c r="P155" s="25">
        <v>4.2000000000000003E-2</v>
      </c>
      <c r="Q155" s="25">
        <v>5.4100000000000002E-2</v>
      </c>
      <c r="R155" s="26">
        <v>114567</v>
      </c>
      <c r="S155" s="26">
        <v>1231320000</v>
      </c>
      <c r="T155">
        <v>0</v>
      </c>
      <c r="U155" s="25">
        <v>7.4399999999999994E-2</v>
      </c>
    </row>
    <row r="156" spans="1:21" x14ac:dyDescent="0.25">
      <c r="A156" t="s">
        <v>165</v>
      </c>
      <c r="B156">
        <v>68.459999999999994</v>
      </c>
      <c r="C156">
        <v>22.94</v>
      </c>
      <c r="D156">
        <v>2.77</v>
      </c>
      <c r="E156">
        <v>1.3560000000000001</v>
      </c>
      <c r="F156" s="25">
        <v>1E-3</v>
      </c>
      <c r="G156">
        <v>0.755</v>
      </c>
      <c r="H156">
        <v>5.8</v>
      </c>
      <c r="I156">
        <v>13.24</v>
      </c>
      <c r="J156">
        <v>-4.49</v>
      </c>
      <c r="K156">
        <v>14.27</v>
      </c>
      <c r="L156">
        <v>10.43</v>
      </c>
      <c r="M156" s="25">
        <v>0.1024</v>
      </c>
      <c r="N156" s="25">
        <v>5.9700000000000003E-2</v>
      </c>
      <c r="O156">
        <v>1.32</v>
      </c>
      <c r="P156" s="25">
        <v>7.2900000000000006E-2</v>
      </c>
      <c r="Q156" s="25">
        <v>0.1207</v>
      </c>
      <c r="R156" s="26">
        <v>439071000</v>
      </c>
      <c r="S156" s="26">
        <v>18314200000</v>
      </c>
      <c r="T156">
        <v>0.64</v>
      </c>
      <c r="U156" s="25">
        <v>0.1338</v>
      </c>
    </row>
    <row r="157" spans="1:21" x14ac:dyDescent="0.25">
      <c r="A157" t="s">
        <v>155</v>
      </c>
      <c r="B157">
        <v>13.99</v>
      </c>
      <c r="C157">
        <v>55.61</v>
      </c>
      <c r="D157">
        <v>1.42</v>
      </c>
      <c r="E157">
        <v>1.9630000000000001</v>
      </c>
      <c r="F157" s="25">
        <v>0</v>
      </c>
      <c r="G157">
        <v>0.497</v>
      </c>
      <c r="H157">
        <v>7.26</v>
      </c>
      <c r="I157">
        <v>8.86</v>
      </c>
      <c r="J157">
        <v>-1.17</v>
      </c>
      <c r="K157">
        <v>13.58</v>
      </c>
      <c r="L157">
        <v>8.3800000000000008</v>
      </c>
      <c r="M157" s="25">
        <v>0.2215</v>
      </c>
      <c r="N157" s="25">
        <v>6.8900000000000003E-2</v>
      </c>
      <c r="O157">
        <v>1.53</v>
      </c>
      <c r="P157" s="25">
        <v>6.3299999999999995E-2</v>
      </c>
      <c r="Q157" s="25">
        <v>2.5499999999999998E-2</v>
      </c>
      <c r="R157" s="26">
        <v>129939000</v>
      </c>
      <c r="S157" s="26">
        <v>19137700000</v>
      </c>
      <c r="T157">
        <v>1</v>
      </c>
      <c r="U157" s="25">
        <v>0.42749999999999999</v>
      </c>
    </row>
    <row r="158" spans="1:21" x14ac:dyDescent="0.25">
      <c r="A158" t="s">
        <v>383</v>
      </c>
      <c r="B158">
        <v>46</v>
      </c>
      <c r="C158">
        <v>5.75</v>
      </c>
      <c r="D158">
        <v>1.17</v>
      </c>
      <c r="E158">
        <v>0.61699999999999999</v>
      </c>
      <c r="F158" s="25">
        <v>6.3E-2</v>
      </c>
      <c r="G158">
        <v>0.26900000000000002</v>
      </c>
      <c r="H158">
        <v>4.2</v>
      </c>
      <c r="I158">
        <v>3.35</v>
      </c>
      <c r="J158">
        <v>-0.56000000000000005</v>
      </c>
      <c r="K158">
        <v>7.82</v>
      </c>
      <c r="L158">
        <v>5.98</v>
      </c>
      <c r="M158" s="25">
        <v>0.18410000000000001</v>
      </c>
      <c r="N158" s="25">
        <v>0.1326</v>
      </c>
      <c r="O158">
        <v>1.38</v>
      </c>
      <c r="P158" s="25">
        <v>9.3700000000000006E-2</v>
      </c>
      <c r="Q158" s="25">
        <v>0.2036</v>
      </c>
      <c r="R158" s="26">
        <v>105434000</v>
      </c>
      <c r="S158" s="26">
        <v>17989300000</v>
      </c>
      <c r="T158">
        <v>2.04</v>
      </c>
      <c r="U158" s="25">
        <v>0.1101</v>
      </c>
    </row>
    <row r="159" spans="1:21" x14ac:dyDescent="0.25">
      <c r="A159" t="s">
        <v>384</v>
      </c>
      <c r="B159">
        <v>11.45</v>
      </c>
      <c r="C159">
        <v>7.16</v>
      </c>
      <c r="D159">
        <v>1.46</v>
      </c>
      <c r="E159">
        <v>0.76800000000000002</v>
      </c>
      <c r="F159" s="25">
        <v>5.0700000000000002E-2</v>
      </c>
      <c r="G159">
        <v>0.33500000000000002</v>
      </c>
      <c r="H159">
        <v>5.23</v>
      </c>
      <c r="I159">
        <v>4.17</v>
      </c>
      <c r="J159">
        <v>-0.7</v>
      </c>
      <c r="K159">
        <v>8.64</v>
      </c>
      <c r="L159">
        <v>6.61</v>
      </c>
      <c r="M159" s="25">
        <v>0.18410000000000001</v>
      </c>
      <c r="N159" s="25">
        <v>0.1326</v>
      </c>
      <c r="O159">
        <v>1.38</v>
      </c>
      <c r="P159" s="25">
        <v>9.3700000000000006E-2</v>
      </c>
      <c r="Q159" s="25">
        <v>0.2036</v>
      </c>
      <c r="R159" s="26">
        <v>59379.7</v>
      </c>
      <c r="S159" s="26">
        <v>17989300000</v>
      </c>
      <c r="T159">
        <v>2.04</v>
      </c>
      <c r="U159" s="25">
        <v>0.1101</v>
      </c>
    </row>
    <row r="160" spans="1:21" x14ac:dyDescent="0.25">
      <c r="A160" t="s">
        <v>166</v>
      </c>
      <c r="B160">
        <v>8.68</v>
      </c>
      <c r="C160">
        <v>5.42</v>
      </c>
      <c r="D160">
        <v>1.1000000000000001</v>
      </c>
      <c r="E160">
        <v>0.58199999999999996</v>
      </c>
      <c r="F160" s="25">
        <v>6.6799999999999998E-2</v>
      </c>
      <c r="G160">
        <v>0.254</v>
      </c>
      <c r="H160">
        <v>3.97</v>
      </c>
      <c r="I160">
        <v>3.16</v>
      </c>
      <c r="J160">
        <v>-0.53</v>
      </c>
      <c r="K160">
        <v>7.63</v>
      </c>
      <c r="L160">
        <v>5.83</v>
      </c>
      <c r="M160" s="25">
        <v>0.18410000000000001</v>
      </c>
      <c r="N160" s="25">
        <v>0.1326</v>
      </c>
      <c r="O160">
        <v>1.38</v>
      </c>
      <c r="P160" s="25">
        <v>9.3700000000000006E-2</v>
      </c>
      <c r="Q160" s="25">
        <v>0.2036</v>
      </c>
      <c r="R160" s="26">
        <v>44478.8</v>
      </c>
      <c r="S160" s="26">
        <v>17989300000</v>
      </c>
      <c r="T160">
        <v>2.04</v>
      </c>
      <c r="U160" s="25">
        <v>0.1101</v>
      </c>
    </row>
    <row r="161" spans="1:21" x14ac:dyDescent="0.25">
      <c r="A161" t="s">
        <v>230</v>
      </c>
      <c r="B161">
        <v>1.03</v>
      </c>
      <c r="C161">
        <v>-10.14</v>
      </c>
      <c r="D161">
        <v>0.67</v>
      </c>
      <c r="E161">
        <v>0.79900000000000004</v>
      </c>
      <c r="F161" s="25">
        <v>0</v>
      </c>
      <c r="G161">
        <v>0.501</v>
      </c>
      <c r="H161">
        <v>1.3</v>
      </c>
      <c r="I161">
        <v>-6.62</v>
      </c>
      <c r="J161">
        <v>1.63</v>
      </c>
      <c r="K161">
        <v>-0.45</v>
      </c>
      <c r="L161">
        <v>2.62</v>
      </c>
      <c r="M161" s="25">
        <v>-0.1207</v>
      </c>
      <c r="N161" s="25">
        <v>-7.8799999999999995E-2</v>
      </c>
      <c r="O161">
        <v>3.2</v>
      </c>
      <c r="P161" s="25">
        <v>-0.1643</v>
      </c>
      <c r="Q161" s="25">
        <v>-6.6400000000000001E-2</v>
      </c>
      <c r="R161" s="26">
        <v>1151410</v>
      </c>
      <c r="S161" s="26">
        <v>313950000</v>
      </c>
      <c r="T161">
        <v>0</v>
      </c>
      <c r="U161" s="25">
        <v>0.34839999999999999</v>
      </c>
    </row>
    <row r="162" spans="1:21" x14ac:dyDescent="0.25">
      <c r="A162" t="s">
        <v>385</v>
      </c>
      <c r="B162">
        <v>65.900000000000006</v>
      </c>
      <c r="C162">
        <v>14.35</v>
      </c>
      <c r="D162">
        <v>3.59</v>
      </c>
      <c r="E162">
        <v>1.7430000000000001</v>
      </c>
      <c r="F162" s="25">
        <v>4.2099999999999999E-2</v>
      </c>
      <c r="G162">
        <v>1.008</v>
      </c>
      <c r="H162">
        <v>10.210000000000001</v>
      </c>
      <c r="I162">
        <v>8.39</v>
      </c>
      <c r="J162">
        <v>-2.2799999999999998</v>
      </c>
      <c r="K162">
        <v>11.8</v>
      </c>
      <c r="L162">
        <v>9.84</v>
      </c>
      <c r="M162" s="25">
        <v>0.20780000000000001</v>
      </c>
      <c r="N162" s="25">
        <v>0.1215</v>
      </c>
      <c r="O162">
        <v>1.56</v>
      </c>
      <c r="P162" s="25">
        <v>0.14069999999999999</v>
      </c>
      <c r="Q162" s="25">
        <v>0.25009999999999999</v>
      </c>
      <c r="R162" s="26">
        <v>20287.599999999999</v>
      </c>
      <c r="S162" s="26">
        <v>4019070000</v>
      </c>
      <c r="T162">
        <v>1.83</v>
      </c>
      <c r="U162" s="25">
        <v>9.1300000000000006E-2</v>
      </c>
    </row>
    <row r="163" spans="1:21" x14ac:dyDescent="0.25">
      <c r="A163" t="s">
        <v>386</v>
      </c>
      <c r="B163">
        <v>59</v>
      </c>
      <c r="C163">
        <v>12.85</v>
      </c>
      <c r="D163">
        <v>3.21</v>
      </c>
      <c r="E163">
        <v>1.5609999999999999</v>
      </c>
      <c r="F163" s="25">
        <v>4.7E-2</v>
      </c>
      <c r="G163">
        <v>0.90200000000000002</v>
      </c>
      <c r="H163">
        <v>9.14</v>
      </c>
      <c r="I163">
        <v>7.51</v>
      </c>
      <c r="J163">
        <v>-2.04</v>
      </c>
      <c r="K163">
        <v>10.92</v>
      </c>
      <c r="L163">
        <v>9.11</v>
      </c>
      <c r="M163" s="25">
        <v>0.20780000000000001</v>
      </c>
      <c r="N163" s="25">
        <v>0.1215</v>
      </c>
      <c r="O163">
        <v>1.56</v>
      </c>
      <c r="P163" s="25">
        <v>0.14069999999999999</v>
      </c>
      <c r="Q163" s="25">
        <v>0.25009999999999999</v>
      </c>
      <c r="R163" s="26">
        <v>1560.79</v>
      </c>
      <c r="S163" s="26">
        <v>4019070000</v>
      </c>
      <c r="T163">
        <v>1.83</v>
      </c>
      <c r="U163" s="25">
        <v>9.1300000000000006E-2</v>
      </c>
    </row>
    <row r="164" spans="1:21" x14ac:dyDescent="0.25">
      <c r="A164" t="s">
        <v>233</v>
      </c>
      <c r="B164">
        <v>4.7</v>
      </c>
      <c r="C164">
        <v>12.17</v>
      </c>
      <c r="D164">
        <v>1.28</v>
      </c>
      <c r="E164">
        <v>9.9049999999999994</v>
      </c>
      <c r="F164" s="25">
        <v>0.39090000000000003</v>
      </c>
      <c r="G164">
        <v>1.012</v>
      </c>
      <c r="H164">
        <v>4.3499999999999996</v>
      </c>
      <c r="I164">
        <v>-10.84</v>
      </c>
      <c r="J164">
        <v>24</v>
      </c>
      <c r="K164">
        <v>-8.61</v>
      </c>
      <c r="L164">
        <v>-10.91</v>
      </c>
      <c r="M164" s="25">
        <v>-0.91390000000000005</v>
      </c>
      <c r="N164" s="25">
        <v>0.81379999999999997</v>
      </c>
      <c r="O164">
        <v>13.71</v>
      </c>
      <c r="P164" s="25">
        <v>-0.11840000000000001</v>
      </c>
      <c r="Q164" s="25">
        <v>0.105</v>
      </c>
      <c r="R164" s="26">
        <v>25679</v>
      </c>
      <c r="S164" s="26">
        <v>54645000</v>
      </c>
      <c r="T164">
        <v>0</v>
      </c>
      <c r="U164" s="25">
        <v>-0.63080000000000003</v>
      </c>
    </row>
    <row r="165" spans="1:21" x14ac:dyDescent="0.25">
      <c r="A165" t="s">
        <v>387</v>
      </c>
      <c r="B165">
        <v>28.6</v>
      </c>
      <c r="C165">
        <v>6.45</v>
      </c>
      <c r="D165">
        <v>1.1100000000000001</v>
      </c>
      <c r="E165">
        <v>0.73399999999999999</v>
      </c>
      <c r="F165" s="25">
        <v>9.5799999999999996E-2</v>
      </c>
      <c r="G165">
        <v>0.42699999999999999</v>
      </c>
      <c r="H165">
        <v>5.8</v>
      </c>
      <c r="I165">
        <v>3.57</v>
      </c>
      <c r="J165">
        <v>-1.19</v>
      </c>
      <c r="K165">
        <v>5.95</v>
      </c>
      <c r="L165">
        <v>4.75</v>
      </c>
      <c r="M165" s="25">
        <v>0.20580000000000001</v>
      </c>
      <c r="N165" s="25">
        <v>0.1139</v>
      </c>
      <c r="O165">
        <v>1.4</v>
      </c>
      <c r="P165" s="25">
        <v>0.14169999999999999</v>
      </c>
      <c r="Q165" s="25">
        <v>0.1721</v>
      </c>
      <c r="R165" s="26">
        <v>6999.07</v>
      </c>
      <c r="S165" s="26">
        <v>4231080000</v>
      </c>
      <c r="T165">
        <v>1.02</v>
      </c>
      <c r="U165" s="25">
        <v>9.1200000000000003E-2</v>
      </c>
    </row>
    <row r="166" spans="1:21" x14ac:dyDescent="0.25">
      <c r="A166" t="s">
        <v>388</v>
      </c>
      <c r="B166">
        <v>5.51</v>
      </c>
      <c r="C166">
        <v>6.28</v>
      </c>
      <c r="D166">
        <v>2.2599999999999998</v>
      </c>
      <c r="E166">
        <v>1.0900000000000001</v>
      </c>
      <c r="F166" s="25">
        <v>0.1195</v>
      </c>
      <c r="G166">
        <v>0.70399999999999996</v>
      </c>
      <c r="H166">
        <v>8.24</v>
      </c>
      <c r="I166">
        <v>4.13</v>
      </c>
      <c r="J166">
        <v>-1.95</v>
      </c>
      <c r="K166">
        <v>5.58</v>
      </c>
      <c r="L166">
        <v>4.8899999999999997</v>
      </c>
      <c r="M166" s="25">
        <v>0.26429999999999998</v>
      </c>
      <c r="N166" s="25">
        <v>0.17369999999999999</v>
      </c>
      <c r="O166">
        <v>1.35</v>
      </c>
      <c r="P166" s="25">
        <v>0.21609999999999999</v>
      </c>
      <c r="Q166" s="25">
        <v>0.36009999999999998</v>
      </c>
      <c r="R166" s="26">
        <v>75851.600000000006</v>
      </c>
      <c r="S166" s="26">
        <v>5385610000</v>
      </c>
      <c r="T166">
        <v>1.27</v>
      </c>
      <c r="U166" s="25">
        <v>0.1515</v>
      </c>
    </row>
    <row r="167" spans="1:21" x14ac:dyDescent="0.25">
      <c r="A167" t="s">
        <v>389</v>
      </c>
      <c r="B167">
        <v>6.46</v>
      </c>
      <c r="C167">
        <v>7.36</v>
      </c>
      <c r="D167">
        <v>2.65</v>
      </c>
      <c r="E167">
        <v>1.278</v>
      </c>
      <c r="F167" s="25">
        <v>0.10199999999999999</v>
      </c>
      <c r="G167">
        <v>0.82499999999999996</v>
      </c>
      <c r="H167">
        <v>9.66</v>
      </c>
      <c r="I167">
        <v>4.84</v>
      </c>
      <c r="J167">
        <v>-2.29</v>
      </c>
      <c r="K167">
        <v>6.3</v>
      </c>
      <c r="L167">
        <v>5.51</v>
      </c>
      <c r="M167" s="25">
        <v>0.26429999999999998</v>
      </c>
      <c r="N167" s="25">
        <v>0.17369999999999999</v>
      </c>
      <c r="O167">
        <v>1.35</v>
      </c>
      <c r="P167" s="25">
        <v>0.21609999999999999</v>
      </c>
      <c r="Q167" s="25">
        <v>0.36009999999999998</v>
      </c>
      <c r="R167" s="26">
        <v>30.76</v>
      </c>
      <c r="S167" s="26">
        <v>5385610000</v>
      </c>
      <c r="T167">
        <v>1.27</v>
      </c>
      <c r="U167" s="25">
        <v>0.1515</v>
      </c>
    </row>
    <row r="168" spans="1:21" x14ac:dyDescent="0.25">
      <c r="A168" t="s">
        <v>910</v>
      </c>
      <c r="B168">
        <v>7.1</v>
      </c>
      <c r="C168">
        <v>8.09</v>
      </c>
      <c r="D168">
        <v>2.91</v>
      </c>
      <c r="E168">
        <v>1.405</v>
      </c>
      <c r="F168" s="25">
        <v>9.2799999999999994E-2</v>
      </c>
      <c r="G168">
        <v>0.90700000000000003</v>
      </c>
      <c r="H168">
        <v>10.62</v>
      </c>
      <c r="I168">
        <v>5.32</v>
      </c>
      <c r="J168">
        <v>-2.52</v>
      </c>
      <c r="K168">
        <v>6.78</v>
      </c>
      <c r="L168">
        <v>5.93</v>
      </c>
      <c r="M168" s="25">
        <v>0.26429999999999998</v>
      </c>
      <c r="N168" s="25">
        <v>0.17369999999999999</v>
      </c>
      <c r="O168">
        <v>1.35</v>
      </c>
      <c r="P168" s="25">
        <v>0.21609999999999999</v>
      </c>
      <c r="Q168" s="25">
        <v>0.36009999999999998</v>
      </c>
      <c r="R168" s="26">
        <v>169.48</v>
      </c>
      <c r="S168" s="26">
        <v>5385610000</v>
      </c>
      <c r="T168">
        <v>1.27</v>
      </c>
      <c r="U168" s="25">
        <v>0.1515</v>
      </c>
    </row>
    <row r="169" spans="1:21" x14ac:dyDescent="0.25">
      <c r="A169" t="s">
        <v>3</v>
      </c>
      <c r="B169">
        <v>8.0500000000000007</v>
      </c>
      <c r="C169">
        <v>9.17</v>
      </c>
      <c r="D169">
        <v>3.3</v>
      </c>
      <c r="E169">
        <v>1.593</v>
      </c>
      <c r="F169" s="25">
        <v>8.1799999999999998E-2</v>
      </c>
      <c r="G169">
        <v>1.028</v>
      </c>
      <c r="H169">
        <v>12.04</v>
      </c>
      <c r="I169">
        <v>6.03</v>
      </c>
      <c r="J169">
        <v>-2.86</v>
      </c>
      <c r="K169">
        <v>7.49</v>
      </c>
      <c r="L169">
        <v>6.55</v>
      </c>
      <c r="M169" s="25">
        <v>0.26429999999999998</v>
      </c>
      <c r="N169" s="25">
        <v>0.17369999999999999</v>
      </c>
      <c r="O169">
        <v>1.35</v>
      </c>
      <c r="P169" s="25">
        <v>0.21609999999999999</v>
      </c>
      <c r="Q169" s="25">
        <v>0.36009999999999998</v>
      </c>
      <c r="R169" s="26">
        <v>95.83</v>
      </c>
      <c r="S169" s="26">
        <v>5385610000</v>
      </c>
      <c r="T169">
        <v>1.27</v>
      </c>
      <c r="U169" s="25">
        <v>0.1515</v>
      </c>
    </row>
    <row r="170" spans="1:21" x14ac:dyDescent="0.25">
      <c r="A170" t="s">
        <v>81</v>
      </c>
      <c r="B170">
        <v>34.6</v>
      </c>
      <c r="C170">
        <v>14.06</v>
      </c>
      <c r="D170">
        <v>1.62</v>
      </c>
      <c r="E170">
        <v>0.92</v>
      </c>
      <c r="F170" s="25">
        <v>2.2800000000000001E-2</v>
      </c>
      <c r="G170">
        <v>0.375</v>
      </c>
      <c r="H170">
        <v>8.42</v>
      </c>
      <c r="I170">
        <v>4.3899999999999997</v>
      </c>
      <c r="J170">
        <v>-0.74</v>
      </c>
      <c r="K170">
        <v>8.83</v>
      </c>
      <c r="L170">
        <v>7.17</v>
      </c>
      <c r="M170" s="25">
        <v>0.20960000000000001</v>
      </c>
      <c r="N170" s="25">
        <v>8.2600000000000007E-2</v>
      </c>
      <c r="O170">
        <v>1.24</v>
      </c>
      <c r="P170" s="25">
        <v>9.8000000000000004E-2</v>
      </c>
      <c r="Q170" s="25">
        <v>0.1153</v>
      </c>
      <c r="R170" s="26">
        <v>242143000</v>
      </c>
      <c r="S170" s="26">
        <v>26784000000</v>
      </c>
      <c r="T170">
        <v>2.0299999999999998</v>
      </c>
      <c r="U170" s="25">
        <v>0.27089999999999997</v>
      </c>
    </row>
    <row r="171" spans="1:21" x14ac:dyDescent="0.25">
      <c r="A171" t="s">
        <v>180</v>
      </c>
      <c r="B171">
        <v>1.0900000000000001</v>
      </c>
      <c r="C171">
        <v>45.27</v>
      </c>
      <c r="D171">
        <v>0.45</v>
      </c>
      <c r="E171">
        <v>0.38</v>
      </c>
      <c r="F171" s="25">
        <v>1.5E-3</v>
      </c>
      <c r="G171">
        <v>0.17199999999999999</v>
      </c>
      <c r="H171">
        <v>1.1399999999999999</v>
      </c>
      <c r="I171">
        <v>2.65</v>
      </c>
      <c r="J171">
        <v>-1.07</v>
      </c>
      <c r="K171">
        <v>6.94</v>
      </c>
      <c r="L171">
        <v>4.3600000000000003</v>
      </c>
      <c r="M171" s="25">
        <v>0.14380000000000001</v>
      </c>
      <c r="N171" s="25">
        <v>7.9000000000000008E-3</v>
      </c>
      <c r="O171">
        <v>1.48</v>
      </c>
      <c r="P171" s="25">
        <v>7.2300000000000003E-2</v>
      </c>
      <c r="Q171" s="25">
        <v>0.01</v>
      </c>
      <c r="R171" s="26">
        <v>379354</v>
      </c>
      <c r="S171" s="26">
        <v>867856000</v>
      </c>
      <c r="T171">
        <v>0.98</v>
      </c>
      <c r="U171" s="25">
        <v>0.1706</v>
      </c>
    </row>
    <row r="172" spans="1:21" x14ac:dyDescent="0.25">
      <c r="A172" t="s">
        <v>390</v>
      </c>
      <c r="B172">
        <v>3.49</v>
      </c>
      <c r="C172">
        <v>-1.06</v>
      </c>
      <c r="D172">
        <v>-0.05</v>
      </c>
      <c r="E172">
        <v>0.17199999999999999</v>
      </c>
      <c r="F172" s="25">
        <v>0</v>
      </c>
      <c r="G172">
        <v>8.5999999999999993E-2</v>
      </c>
      <c r="H172">
        <v>-0.04</v>
      </c>
      <c r="I172">
        <v>-4.21</v>
      </c>
      <c r="J172">
        <v>-0.04</v>
      </c>
      <c r="K172">
        <v>-19.579999999999998</v>
      </c>
      <c r="L172">
        <v>-26.73</v>
      </c>
      <c r="M172" s="25">
        <v>-4.0899999999999999E-2</v>
      </c>
      <c r="N172" s="25">
        <v>-0.16170000000000001</v>
      </c>
      <c r="O172">
        <v>0.14000000000000001</v>
      </c>
      <c r="P172" s="25">
        <v>-2.18E-2</v>
      </c>
      <c r="Q172" s="25">
        <v>4.6300000000000001E-2</v>
      </c>
      <c r="R172" s="26">
        <v>516.95000000000005</v>
      </c>
      <c r="S172" s="26">
        <v>-573005000</v>
      </c>
      <c r="T172">
        <v>-0.18</v>
      </c>
      <c r="U172" s="25">
        <v>9.4000000000000004E-3</v>
      </c>
    </row>
    <row r="173" spans="1:21" x14ac:dyDescent="0.25">
      <c r="A173" t="s">
        <v>186</v>
      </c>
      <c r="B173">
        <v>3.7</v>
      </c>
      <c r="C173">
        <v>8.23</v>
      </c>
      <c r="D173">
        <v>0.28999999999999998</v>
      </c>
      <c r="E173">
        <v>0.19400000000000001</v>
      </c>
      <c r="F173" s="25">
        <v>3.39E-2</v>
      </c>
      <c r="G173">
        <v>0.17499999999999999</v>
      </c>
      <c r="H173">
        <v>1.05</v>
      </c>
      <c r="I173">
        <v>10.83</v>
      </c>
      <c r="J173">
        <v>18.66</v>
      </c>
      <c r="K173">
        <v>16.12</v>
      </c>
      <c r="L173">
        <v>4.6100000000000003</v>
      </c>
      <c r="M173" s="25">
        <v>1.7899999999999999E-2</v>
      </c>
      <c r="N173" s="25">
        <v>2.3599999999999999E-2</v>
      </c>
      <c r="O173">
        <v>1.72</v>
      </c>
      <c r="P173" s="25">
        <v>1.78E-2</v>
      </c>
      <c r="Q173" s="25">
        <v>3.49E-2</v>
      </c>
      <c r="R173" s="26">
        <v>310850</v>
      </c>
      <c r="S173" s="26">
        <v>795309000</v>
      </c>
      <c r="T173">
        <v>0.17</v>
      </c>
      <c r="U173" s="25">
        <v>6.88E-2</v>
      </c>
    </row>
    <row r="174" spans="1:21" x14ac:dyDescent="0.25">
      <c r="A174" t="s">
        <v>391</v>
      </c>
      <c r="B174">
        <v>19</v>
      </c>
      <c r="C174">
        <v>7.31</v>
      </c>
      <c r="D174">
        <v>0.66</v>
      </c>
      <c r="E174">
        <v>0.59399999999999997</v>
      </c>
      <c r="F174" s="25">
        <v>3.5200000000000002E-2</v>
      </c>
      <c r="G174">
        <v>0.36199999999999999</v>
      </c>
      <c r="H174">
        <v>1.78</v>
      </c>
      <c r="I174">
        <v>4.05</v>
      </c>
      <c r="J174">
        <v>-6.16</v>
      </c>
      <c r="K174">
        <v>5.4</v>
      </c>
      <c r="L174">
        <v>3.56</v>
      </c>
      <c r="M174" s="25">
        <v>0.1467</v>
      </c>
      <c r="N174" s="25">
        <v>8.1299999999999997E-2</v>
      </c>
      <c r="O174">
        <v>2.06</v>
      </c>
      <c r="P174" s="25">
        <v>0.10580000000000001</v>
      </c>
      <c r="Q174" s="25">
        <v>9.0700000000000003E-2</v>
      </c>
      <c r="R174" s="26">
        <v>29129.8</v>
      </c>
      <c r="S174" s="26">
        <v>2652920000</v>
      </c>
      <c r="T174">
        <v>0.4</v>
      </c>
      <c r="U174" s="25">
        <v>9.1399999999999995E-2</v>
      </c>
    </row>
    <row r="175" spans="1:21" x14ac:dyDescent="0.25">
      <c r="A175" t="s">
        <v>11</v>
      </c>
      <c r="B175">
        <v>17.11</v>
      </c>
      <c r="C175">
        <v>6.58</v>
      </c>
      <c r="D175">
        <v>0.6</v>
      </c>
      <c r="E175">
        <v>0.53500000000000003</v>
      </c>
      <c r="F175" s="25">
        <v>4.2999999999999997E-2</v>
      </c>
      <c r="G175">
        <v>0.32600000000000001</v>
      </c>
      <c r="H175">
        <v>1.61</v>
      </c>
      <c r="I175">
        <v>3.65</v>
      </c>
      <c r="J175">
        <v>-5.55</v>
      </c>
      <c r="K175">
        <v>4.99</v>
      </c>
      <c r="L175">
        <v>3.3</v>
      </c>
      <c r="M175" s="25">
        <v>0.1467</v>
      </c>
      <c r="N175" s="25">
        <v>8.1299999999999997E-2</v>
      </c>
      <c r="O175">
        <v>2.06</v>
      </c>
      <c r="P175" s="25">
        <v>0.10580000000000001</v>
      </c>
      <c r="Q175" s="25">
        <v>9.0700000000000003E-2</v>
      </c>
      <c r="R175" s="26">
        <v>1049360</v>
      </c>
      <c r="S175" s="26">
        <v>2652920000</v>
      </c>
      <c r="T175">
        <v>0.4</v>
      </c>
      <c r="U175" s="25">
        <v>9.1399999999999995E-2</v>
      </c>
    </row>
    <row r="176" spans="1:21" x14ac:dyDescent="0.25">
      <c r="A176" t="s">
        <v>122</v>
      </c>
      <c r="B176">
        <v>7.08</v>
      </c>
      <c r="C176">
        <v>45.57</v>
      </c>
      <c r="D176">
        <v>0.75</v>
      </c>
      <c r="E176">
        <v>0.76700000000000002</v>
      </c>
      <c r="F176" s="25">
        <v>5.6500000000000002E-2</v>
      </c>
      <c r="G176">
        <v>0.27500000000000002</v>
      </c>
      <c r="H176">
        <v>0.44</v>
      </c>
      <c r="I176">
        <v>4.8499999999999996</v>
      </c>
      <c r="J176">
        <v>1.17</v>
      </c>
      <c r="K176">
        <v>5.69</v>
      </c>
      <c r="L176">
        <v>5.63</v>
      </c>
      <c r="M176" s="25">
        <v>0.15820000000000001</v>
      </c>
      <c r="N176" s="25">
        <v>5.6500000000000002E-2</v>
      </c>
      <c r="O176">
        <v>4.38</v>
      </c>
      <c r="P176" s="25">
        <v>6.93E-2</v>
      </c>
      <c r="Q176" s="25">
        <v>1.6500000000000001E-2</v>
      </c>
      <c r="R176" s="26">
        <v>4194310</v>
      </c>
      <c r="S176" s="26">
        <v>1885180000</v>
      </c>
      <c r="T176">
        <v>0.59</v>
      </c>
      <c r="U176" s="25">
        <v>2.75E-2</v>
      </c>
    </row>
    <row r="177" spans="1:21" x14ac:dyDescent="0.25">
      <c r="A177" t="s">
        <v>90</v>
      </c>
      <c r="B177">
        <v>13.27</v>
      </c>
      <c r="C177">
        <v>6.63</v>
      </c>
      <c r="D177">
        <v>0.6</v>
      </c>
      <c r="E177">
        <v>1.796</v>
      </c>
      <c r="F177" s="25">
        <v>8.8099999999999998E-2</v>
      </c>
      <c r="G177">
        <v>0.42099999999999999</v>
      </c>
      <c r="H177">
        <v>1.1100000000000001</v>
      </c>
      <c r="I177">
        <v>9.56</v>
      </c>
      <c r="J177">
        <v>2.75</v>
      </c>
      <c r="K177">
        <v>10.86</v>
      </c>
      <c r="L177">
        <v>10</v>
      </c>
      <c r="M177" s="25">
        <v>0.18779999999999999</v>
      </c>
      <c r="N177" s="25">
        <v>0.28749999999999998</v>
      </c>
      <c r="O177">
        <v>7.71</v>
      </c>
      <c r="P177" s="25">
        <v>5.3499999999999999E-2</v>
      </c>
      <c r="Q177" s="25">
        <v>9.0200000000000002E-2</v>
      </c>
      <c r="R177" s="26">
        <v>13337400</v>
      </c>
      <c r="S177" s="26">
        <v>4898440000</v>
      </c>
      <c r="T177">
        <v>0.32</v>
      </c>
      <c r="U177" s="25">
        <v>0.1333</v>
      </c>
    </row>
    <row r="178" spans="1:21" x14ac:dyDescent="0.25">
      <c r="A178" t="s">
        <v>392</v>
      </c>
      <c r="B178">
        <v>12.06</v>
      </c>
      <c r="C178">
        <v>13.72</v>
      </c>
      <c r="D178">
        <v>1.27</v>
      </c>
      <c r="E178">
        <v>1.871</v>
      </c>
      <c r="F178" s="25">
        <v>3.7699999999999997E-2</v>
      </c>
      <c r="G178">
        <v>0.98299999999999998</v>
      </c>
      <c r="H178">
        <v>3.77</v>
      </c>
      <c r="I178">
        <v>20.56</v>
      </c>
      <c r="J178">
        <v>6.06</v>
      </c>
      <c r="K178">
        <v>18.21</v>
      </c>
      <c r="L178">
        <v>7.93</v>
      </c>
      <c r="M178" s="25">
        <v>9.0999999999999998E-2</v>
      </c>
      <c r="N178" s="25">
        <v>0.13650000000000001</v>
      </c>
      <c r="O178">
        <v>3.09</v>
      </c>
      <c r="P178" s="25">
        <v>6.1600000000000002E-2</v>
      </c>
      <c r="Q178" s="25">
        <v>9.2299999999999993E-2</v>
      </c>
      <c r="R178" s="26">
        <v>1635.48</v>
      </c>
      <c r="S178" s="26">
        <v>3363440000</v>
      </c>
      <c r="T178">
        <v>0.1</v>
      </c>
      <c r="U178" s="25">
        <v>3.2500000000000001E-2</v>
      </c>
    </row>
    <row r="179" spans="1:21" x14ac:dyDescent="0.25">
      <c r="A179" t="s">
        <v>252</v>
      </c>
      <c r="B179">
        <v>6.79</v>
      </c>
      <c r="C179">
        <v>7.72</v>
      </c>
      <c r="D179">
        <v>0.71</v>
      </c>
      <c r="E179">
        <v>1.0529999999999999</v>
      </c>
      <c r="F179" s="25">
        <v>7.3700000000000002E-2</v>
      </c>
      <c r="G179">
        <v>0.55300000000000005</v>
      </c>
      <c r="H179">
        <v>2.12</v>
      </c>
      <c r="I179">
        <v>11.58</v>
      </c>
      <c r="J179">
        <v>3.41</v>
      </c>
      <c r="K179">
        <v>9.23</v>
      </c>
      <c r="L179">
        <v>4.0199999999999996</v>
      </c>
      <c r="M179" s="25">
        <v>9.0999999999999998E-2</v>
      </c>
      <c r="N179" s="25">
        <v>0.13650000000000001</v>
      </c>
      <c r="O179">
        <v>3.09</v>
      </c>
      <c r="P179" s="25">
        <v>6.1600000000000002E-2</v>
      </c>
      <c r="Q179" s="25">
        <v>9.2299999999999993E-2</v>
      </c>
      <c r="R179" s="26">
        <v>3384780</v>
      </c>
      <c r="S179" s="26">
        <v>3363440000</v>
      </c>
      <c r="T179">
        <v>0.1</v>
      </c>
      <c r="U179" s="25">
        <v>3.2500000000000001E-2</v>
      </c>
    </row>
    <row r="180" spans="1:21" x14ac:dyDescent="0.25">
      <c r="A180" t="s">
        <v>227</v>
      </c>
      <c r="B180">
        <v>4.05</v>
      </c>
      <c r="C180">
        <v>-0.23</v>
      </c>
      <c r="D180">
        <v>-0.2</v>
      </c>
      <c r="E180">
        <v>4.8000000000000001E-2</v>
      </c>
      <c r="F180" s="25">
        <v>0</v>
      </c>
      <c r="G180">
        <v>7.4999999999999997E-2</v>
      </c>
      <c r="H180">
        <v>-0.53</v>
      </c>
      <c r="I180">
        <v>-1.04</v>
      </c>
      <c r="J180">
        <v>-0.11</v>
      </c>
      <c r="K180">
        <v>-0.1</v>
      </c>
      <c r="L180">
        <v>-0.14000000000000001</v>
      </c>
      <c r="M180" s="25">
        <v>-4.6100000000000002E-2</v>
      </c>
      <c r="N180" s="25">
        <v>-0.20930000000000001</v>
      </c>
      <c r="O180">
        <v>0.83</v>
      </c>
      <c r="P180" s="25">
        <v>-0.39689999999999998</v>
      </c>
      <c r="Q180" s="25">
        <v>0.87439999999999996</v>
      </c>
      <c r="R180" s="26">
        <v>245472</v>
      </c>
      <c r="S180" s="26">
        <v>-1087650000</v>
      </c>
      <c r="T180">
        <v>-0.02</v>
      </c>
      <c r="U180" s="25">
        <v>0.1242</v>
      </c>
    </row>
    <row r="181" spans="1:21" x14ac:dyDescent="0.25">
      <c r="A181" t="s">
        <v>393</v>
      </c>
      <c r="B181">
        <v>3.2</v>
      </c>
      <c r="C181">
        <v>-3.12</v>
      </c>
      <c r="D181">
        <v>-8.3699999999999992</v>
      </c>
      <c r="E181">
        <v>-6.3150000000000004</v>
      </c>
      <c r="F181" s="25">
        <v>0</v>
      </c>
      <c r="G181">
        <v>17.138000000000002</v>
      </c>
      <c r="H181">
        <v>-58.64</v>
      </c>
      <c r="I181">
        <v>-15.26</v>
      </c>
      <c r="J181">
        <v>-5.64</v>
      </c>
      <c r="K181">
        <v>-16.13</v>
      </c>
      <c r="L181">
        <v>-15.39</v>
      </c>
      <c r="M181" s="25">
        <v>0.41389999999999999</v>
      </c>
      <c r="N181" s="25">
        <v>2.0249999999999999</v>
      </c>
      <c r="O181">
        <v>0.03</v>
      </c>
      <c r="P181" s="25">
        <v>-1.1304000000000001</v>
      </c>
      <c r="Q181" s="25">
        <v>2.6833999999999998</v>
      </c>
      <c r="R181" s="26">
        <v>66598.2</v>
      </c>
      <c r="S181" s="26">
        <v>-9103000</v>
      </c>
      <c r="T181">
        <v>-0.48</v>
      </c>
      <c r="U181" s="25">
        <v>-0.1394</v>
      </c>
    </row>
    <row r="182" spans="1:21" x14ac:dyDescent="0.25">
      <c r="A182" t="s">
        <v>394</v>
      </c>
      <c r="B182">
        <v>13</v>
      </c>
      <c r="C182">
        <v>-49.51</v>
      </c>
      <c r="D182">
        <v>0.4</v>
      </c>
      <c r="E182">
        <v>12.558999999999999</v>
      </c>
      <c r="F182" s="25">
        <v>0</v>
      </c>
      <c r="G182">
        <v>0.29899999999999999</v>
      </c>
      <c r="H182">
        <v>2.93</v>
      </c>
      <c r="I182">
        <v>-5.31</v>
      </c>
      <c r="J182">
        <v>-6.41</v>
      </c>
      <c r="K182">
        <v>-7.19</v>
      </c>
      <c r="L182">
        <v>-7.65</v>
      </c>
      <c r="M182" s="25">
        <v>-2.3645999999999998</v>
      </c>
      <c r="N182" s="25">
        <v>-0.25490000000000002</v>
      </c>
      <c r="O182">
        <v>2.0499999999999998</v>
      </c>
      <c r="P182" s="25">
        <v>-5.9299999999999999E-2</v>
      </c>
      <c r="Q182" s="25">
        <v>-8.0000000000000002E-3</v>
      </c>
      <c r="R182" s="26">
        <v>27097.1</v>
      </c>
      <c r="S182" s="26">
        <v>79440000</v>
      </c>
      <c r="T182">
        <v>0.15</v>
      </c>
      <c r="U182" s="25">
        <v>-2.1299999999999999E-2</v>
      </c>
    </row>
    <row r="183" spans="1:21" x14ac:dyDescent="0.25">
      <c r="A183" t="s">
        <v>395</v>
      </c>
      <c r="B183">
        <v>3.64</v>
      </c>
      <c r="C183">
        <v>7.57</v>
      </c>
      <c r="D183">
        <v>1.08</v>
      </c>
      <c r="E183">
        <v>1.26</v>
      </c>
      <c r="F183" s="25">
        <v>2.7199999999999998E-2</v>
      </c>
      <c r="G183">
        <v>0.56799999999999995</v>
      </c>
      <c r="H183">
        <v>5.73</v>
      </c>
      <c r="I183">
        <v>5.26</v>
      </c>
      <c r="J183">
        <v>-2.93</v>
      </c>
      <c r="K183">
        <v>5.88</v>
      </c>
      <c r="L183">
        <v>2.99</v>
      </c>
      <c r="M183" s="25">
        <v>0.23960000000000001</v>
      </c>
      <c r="N183" s="25">
        <v>0.16639999999999999</v>
      </c>
      <c r="O183">
        <v>1.55</v>
      </c>
      <c r="P183" s="25">
        <v>0.1351</v>
      </c>
      <c r="Q183" s="25">
        <v>0.14269999999999999</v>
      </c>
      <c r="R183" s="26">
        <v>938392</v>
      </c>
      <c r="S183" s="26">
        <v>1220080000</v>
      </c>
      <c r="T183">
        <v>0.47</v>
      </c>
      <c r="U183" s="25">
        <v>0.2616</v>
      </c>
    </row>
    <row r="184" spans="1:21" x14ac:dyDescent="0.25">
      <c r="A184" t="s">
        <v>51</v>
      </c>
      <c r="B184">
        <v>14.51</v>
      </c>
      <c r="C184">
        <v>12.65</v>
      </c>
      <c r="D184">
        <v>1.52</v>
      </c>
      <c r="E184">
        <v>1.0189999999999999</v>
      </c>
      <c r="F184" s="25">
        <v>7.0099999999999996E-2</v>
      </c>
      <c r="G184">
        <v>0.59799999999999998</v>
      </c>
      <c r="H184">
        <v>3.02</v>
      </c>
      <c r="I184">
        <v>6.61</v>
      </c>
      <c r="J184">
        <v>-2.42</v>
      </c>
      <c r="K184">
        <v>9.14</v>
      </c>
      <c r="L184">
        <v>5.48</v>
      </c>
      <c r="M184" s="25">
        <v>0.154</v>
      </c>
      <c r="N184" s="25">
        <v>7.8399999999999997E-2</v>
      </c>
      <c r="O184">
        <v>2.29</v>
      </c>
      <c r="P184" s="25">
        <v>0.11849999999999999</v>
      </c>
      <c r="Q184" s="25">
        <v>0.1201</v>
      </c>
      <c r="R184" s="26">
        <v>42824100</v>
      </c>
      <c r="S184" s="26">
        <v>5226800000</v>
      </c>
      <c r="T184">
        <v>1.05</v>
      </c>
      <c r="U184" s="25">
        <v>0.26790000000000003</v>
      </c>
    </row>
    <row r="185" spans="1:21" x14ac:dyDescent="0.25">
      <c r="A185" t="s">
        <v>65</v>
      </c>
      <c r="B185">
        <v>23.45</v>
      </c>
      <c r="C185">
        <v>20.05</v>
      </c>
      <c r="D185">
        <v>3.08</v>
      </c>
      <c r="E185">
        <v>1.4750000000000001</v>
      </c>
      <c r="F185" s="25">
        <v>2.5000000000000001E-2</v>
      </c>
      <c r="G185">
        <v>0.97599999999999998</v>
      </c>
      <c r="H185">
        <v>3.69</v>
      </c>
      <c r="I185">
        <v>9.93</v>
      </c>
      <c r="J185">
        <v>-5.1100000000000003</v>
      </c>
      <c r="K185">
        <v>12.98</v>
      </c>
      <c r="L185">
        <v>10.09</v>
      </c>
      <c r="M185" s="25">
        <v>0.14849999999999999</v>
      </c>
      <c r="N185" s="25">
        <v>7.5300000000000006E-2</v>
      </c>
      <c r="O185">
        <v>2.19</v>
      </c>
      <c r="P185" s="25">
        <v>0.123</v>
      </c>
      <c r="Q185" s="25">
        <v>0.15379999999999999</v>
      </c>
      <c r="R185" s="26">
        <v>13277900</v>
      </c>
      <c r="S185" s="26">
        <v>2131360000</v>
      </c>
      <c r="T185">
        <v>1.28</v>
      </c>
      <c r="U185" s="25">
        <v>0.2069</v>
      </c>
    </row>
    <row r="186" spans="1:21" x14ac:dyDescent="0.25">
      <c r="A186" t="s">
        <v>396</v>
      </c>
      <c r="B186">
        <v>203</v>
      </c>
      <c r="C186">
        <v>-56.87</v>
      </c>
      <c r="D186">
        <v>3.89</v>
      </c>
      <c r="E186">
        <v>0.55500000000000005</v>
      </c>
      <c r="F186" s="25">
        <v>0</v>
      </c>
      <c r="G186">
        <v>0.66200000000000003</v>
      </c>
      <c r="H186">
        <v>5.15</v>
      </c>
      <c r="I186">
        <v>14.12</v>
      </c>
      <c r="J186">
        <v>-6.37</v>
      </c>
      <c r="K186">
        <v>21.99</v>
      </c>
      <c r="L186">
        <v>12.13</v>
      </c>
      <c r="M186" s="25">
        <v>3.9300000000000002E-2</v>
      </c>
      <c r="N186" s="25">
        <v>-1.43E-2</v>
      </c>
      <c r="O186">
        <v>1.23</v>
      </c>
      <c r="P186" s="25">
        <v>6.7299999999999999E-2</v>
      </c>
      <c r="Q186" s="25">
        <v>-6.8400000000000002E-2</v>
      </c>
      <c r="R186" s="26">
        <v>36680.800000000003</v>
      </c>
      <c r="S186" s="26">
        <v>327983000</v>
      </c>
      <c r="T186">
        <v>2.5</v>
      </c>
      <c r="U186" s="25">
        <v>7.6799999999999993E-2</v>
      </c>
    </row>
    <row r="187" spans="1:21" x14ac:dyDescent="0.25">
      <c r="A187" t="s">
        <v>397</v>
      </c>
      <c r="B187">
        <v>33.340000000000003</v>
      </c>
      <c r="C187">
        <v>32.409999999999997</v>
      </c>
      <c r="D187">
        <v>1.86</v>
      </c>
      <c r="E187">
        <v>9.0120000000000005</v>
      </c>
      <c r="F187" s="25">
        <v>0.2104</v>
      </c>
      <c r="G187">
        <v>0.89500000000000002</v>
      </c>
      <c r="H187">
        <v>-8.4499999999999993</v>
      </c>
      <c r="I187">
        <v>19.05</v>
      </c>
      <c r="J187">
        <v>-2.67</v>
      </c>
      <c r="K187">
        <v>20.2</v>
      </c>
      <c r="L187">
        <v>14.35</v>
      </c>
      <c r="M187" s="25">
        <v>0.47299999999999998</v>
      </c>
      <c r="N187" s="25">
        <v>0.27810000000000001</v>
      </c>
      <c r="O187">
        <v>0.63</v>
      </c>
      <c r="P187" s="25">
        <v>6.2899999999999998E-2</v>
      </c>
      <c r="Q187" s="25">
        <v>5.74E-2</v>
      </c>
      <c r="R187" s="26">
        <v>2471.9299999999998</v>
      </c>
      <c r="S187" s="26">
        <v>1691660000</v>
      </c>
      <c r="T187">
        <v>0.37</v>
      </c>
      <c r="U187" s="25">
        <v>-0.25559999999999999</v>
      </c>
    </row>
    <row r="188" spans="1:21" x14ac:dyDescent="0.25">
      <c r="A188" t="s">
        <v>398</v>
      </c>
      <c r="B188">
        <v>36.01</v>
      </c>
      <c r="C188">
        <v>35.01</v>
      </c>
      <c r="D188">
        <v>2.0099999999999998</v>
      </c>
      <c r="E188">
        <v>9.734</v>
      </c>
      <c r="F188" s="25">
        <v>0.1948</v>
      </c>
      <c r="G188">
        <v>0.96699999999999997</v>
      </c>
      <c r="H188">
        <v>-9.1300000000000008</v>
      </c>
      <c r="I188">
        <v>20.58</v>
      </c>
      <c r="J188">
        <v>-2.88</v>
      </c>
      <c r="K188">
        <v>21.73</v>
      </c>
      <c r="L188">
        <v>15.43</v>
      </c>
      <c r="M188" s="25">
        <v>0.47299999999999998</v>
      </c>
      <c r="N188" s="25">
        <v>0.27810000000000001</v>
      </c>
      <c r="O188">
        <v>0.63</v>
      </c>
      <c r="P188" s="25">
        <v>6.2899999999999998E-2</v>
      </c>
      <c r="Q188" s="25">
        <v>5.74E-2</v>
      </c>
      <c r="R188" s="26">
        <v>17356.3</v>
      </c>
      <c r="S188" s="26">
        <v>1691660000</v>
      </c>
      <c r="T188">
        <v>0.37</v>
      </c>
      <c r="U188" s="25">
        <v>-0.25559999999999999</v>
      </c>
    </row>
    <row r="189" spans="1:21" x14ac:dyDescent="0.25">
      <c r="A189" t="s">
        <v>228</v>
      </c>
      <c r="B189">
        <v>16.88</v>
      </c>
      <c r="C189">
        <v>-2.89</v>
      </c>
      <c r="D189">
        <v>0.06</v>
      </c>
      <c r="E189">
        <v>0.115</v>
      </c>
      <c r="F189" s="25">
        <v>0</v>
      </c>
      <c r="G189">
        <v>2.3E-2</v>
      </c>
      <c r="H189">
        <v>0.1</v>
      </c>
      <c r="I189">
        <v>-0.59</v>
      </c>
      <c r="J189">
        <v>-2.4700000000000002</v>
      </c>
      <c r="K189">
        <v>-7.54</v>
      </c>
      <c r="L189">
        <v>-8.15</v>
      </c>
      <c r="M189" s="25">
        <v>-0.1966</v>
      </c>
      <c r="N189" s="25">
        <v>-0.04</v>
      </c>
      <c r="O189">
        <v>1.67</v>
      </c>
      <c r="P189" s="25">
        <v>-4.1599999999999998E-2</v>
      </c>
      <c r="Q189" s="25">
        <v>-1.9699999999999999E-2</v>
      </c>
      <c r="R189" s="26">
        <v>7017840</v>
      </c>
      <c r="S189" s="26">
        <v>1995250000</v>
      </c>
      <c r="T189">
        <v>0.75</v>
      </c>
      <c r="U189" s="25">
        <v>2.4199999999999999E-2</v>
      </c>
    </row>
    <row r="190" spans="1:21" x14ac:dyDescent="0.25">
      <c r="A190" t="s">
        <v>33</v>
      </c>
      <c r="B190">
        <v>15.3</v>
      </c>
      <c r="C190">
        <v>9.48</v>
      </c>
      <c r="D190">
        <v>0.55000000000000004</v>
      </c>
      <c r="E190">
        <v>0.45500000000000002</v>
      </c>
      <c r="F190" s="25">
        <v>4.3200000000000002E-2</v>
      </c>
      <c r="G190">
        <v>0.36299999999999999</v>
      </c>
      <c r="H190">
        <v>1.55</v>
      </c>
      <c r="I190">
        <v>4.76</v>
      </c>
      <c r="J190">
        <v>10.94</v>
      </c>
      <c r="K190">
        <v>5.93</v>
      </c>
      <c r="L190">
        <v>3.95</v>
      </c>
      <c r="M190" s="25">
        <v>9.5600000000000004E-2</v>
      </c>
      <c r="N190" s="25">
        <v>4.8500000000000001E-2</v>
      </c>
      <c r="O190">
        <v>2.64</v>
      </c>
      <c r="P190" s="25">
        <v>9.0200000000000002E-2</v>
      </c>
      <c r="Q190" s="25">
        <v>5.8400000000000001E-2</v>
      </c>
      <c r="R190" s="26">
        <v>592098</v>
      </c>
      <c r="S190" s="26">
        <v>56017100000</v>
      </c>
      <c r="T190">
        <v>0.26</v>
      </c>
      <c r="U190" s="25">
        <v>3.73E-2</v>
      </c>
    </row>
    <row r="191" spans="1:21" x14ac:dyDescent="0.25">
      <c r="A191" t="s">
        <v>48</v>
      </c>
      <c r="B191">
        <v>17.22</v>
      </c>
      <c r="C191">
        <v>10.67</v>
      </c>
      <c r="D191">
        <v>0.62</v>
      </c>
      <c r="E191">
        <v>0.51200000000000001</v>
      </c>
      <c r="F191" s="25">
        <v>3.8399999999999997E-2</v>
      </c>
      <c r="G191">
        <v>0.40799999999999997</v>
      </c>
      <c r="H191">
        <v>1.75</v>
      </c>
      <c r="I191">
        <v>5.36</v>
      </c>
      <c r="J191">
        <v>12.31</v>
      </c>
      <c r="K191">
        <v>6.53</v>
      </c>
      <c r="L191">
        <v>4.34</v>
      </c>
      <c r="M191" s="25">
        <v>9.5600000000000004E-2</v>
      </c>
      <c r="N191" s="25">
        <v>4.8500000000000001E-2</v>
      </c>
      <c r="O191">
        <v>2.64</v>
      </c>
      <c r="P191" s="25">
        <v>9.0200000000000002E-2</v>
      </c>
      <c r="Q191" s="25">
        <v>5.8400000000000001E-2</v>
      </c>
      <c r="R191" s="26">
        <v>180617000</v>
      </c>
      <c r="S191" s="26">
        <v>56017100000</v>
      </c>
      <c r="T191">
        <v>0.26</v>
      </c>
      <c r="U191" s="25">
        <v>3.73E-2</v>
      </c>
    </row>
    <row r="192" spans="1:21" x14ac:dyDescent="0.25">
      <c r="A192" t="s">
        <v>99</v>
      </c>
      <c r="B192">
        <v>14.8</v>
      </c>
      <c r="C192">
        <v>15.05</v>
      </c>
      <c r="D192">
        <v>2.73</v>
      </c>
      <c r="E192">
        <v>0.63400000000000001</v>
      </c>
      <c r="F192" s="25">
        <v>2.18E-2</v>
      </c>
      <c r="G192">
        <v>0.69199999999999995</v>
      </c>
      <c r="H192">
        <v>2.2799999999999998</v>
      </c>
      <c r="I192">
        <v>8.33</v>
      </c>
      <c r="J192">
        <v>-3.2</v>
      </c>
      <c r="K192">
        <v>9.9700000000000006</v>
      </c>
      <c r="L192">
        <v>7.4</v>
      </c>
      <c r="M192" s="25">
        <v>7.6200000000000004E-2</v>
      </c>
      <c r="N192" s="25">
        <v>4.2700000000000002E-2</v>
      </c>
      <c r="O192">
        <v>2.34</v>
      </c>
      <c r="P192" s="25">
        <v>0.1101</v>
      </c>
      <c r="Q192" s="25">
        <v>0.18149999999999999</v>
      </c>
      <c r="R192" s="26">
        <v>44043100</v>
      </c>
      <c r="S192" s="26">
        <v>3670500000</v>
      </c>
      <c r="T192">
        <v>1.38</v>
      </c>
      <c r="U192" s="25">
        <v>0.28439999999999999</v>
      </c>
    </row>
    <row r="193" spans="1:21" x14ac:dyDescent="0.25">
      <c r="A193" t="s">
        <v>139</v>
      </c>
      <c r="B193">
        <v>7.61</v>
      </c>
      <c r="C193">
        <v>12.27</v>
      </c>
      <c r="D193">
        <v>1.71</v>
      </c>
      <c r="E193">
        <v>0.51800000000000002</v>
      </c>
      <c r="F193" s="25">
        <v>2.8199999999999999E-2</v>
      </c>
      <c r="G193">
        <v>0.85099999999999998</v>
      </c>
      <c r="H193">
        <v>2.33</v>
      </c>
      <c r="I193">
        <v>7.65</v>
      </c>
      <c r="J193">
        <v>6.59</v>
      </c>
      <c r="K193">
        <v>7.92</v>
      </c>
      <c r="L193">
        <v>6.78</v>
      </c>
      <c r="M193" s="25">
        <v>6.7699999999999996E-2</v>
      </c>
      <c r="N193" s="25">
        <v>4.2799999999999998E-2</v>
      </c>
      <c r="O193">
        <v>2.4</v>
      </c>
      <c r="P193" s="25">
        <v>0.1507</v>
      </c>
      <c r="Q193" s="25">
        <v>0.13930000000000001</v>
      </c>
      <c r="R193" s="26">
        <v>26451300</v>
      </c>
      <c r="S193" s="26">
        <v>10013600000</v>
      </c>
      <c r="T193">
        <v>0.21</v>
      </c>
      <c r="U193" s="25">
        <v>0.26050000000000001</v>
      </c>
    </row>
    <row r="194" spans="1:21" x14ac:dyDescent="0.25">
      <c r="A194" t="s">
        <v>43</v>
      </c>
      <c r="B194">
        <v>9.67</v>
      </c>
      <c r="C194">
        <v>8.6</v>
      </c>
      <c r="D194">
        <v>0.49</v>
      </c>
      <c r="E194">
        <v>0.14099999999999999</v>
      </c>
      <c r="F194" s="25">
        <v>3.6200000000000003E-2</v>
      </c>
      <c r="G194">
        <v>0.112</v>
      </c>
      <c r="H194">
        <v>0.48</v>
      </c>
      <c r="I194">
        <v>1.48</v>
      </c>
      <c r="J194">
        <v>3.33</v>
      </c>
      <c r="K194">
        <v>2.65</v>
      </c>
      <c r="L194">
        <v>1.76</v>
      </c>
      <c r="M194" s="25">
        <v>9.5399999999999999E-2</v>
      </c>
      <c r="N194" s="25">
        <v>4.8599999999999997E-2</v>
      </c>
      <c r="O194">
        <v>2.64</v>
      </c>
      <c r="P194" s="25">
        <v>0.09</v>
      </c>
      <c r="Q194" s="25">
        <v>5.74E-2</v>
      </c>
      <c r="R194" s="26">
        <v>278903</v>
      </c>
      <c r="S194" s="26">
        <v>19459900000</v>
      </c>
      <c r="T194">
        <v>0.75</v>
      </c>
      <c r="U194" s="25">
        <v>3.73E-2</v>
      </c>
    </row>
    <row r="195" spans="1:21" x14ac:dyDescent="0.25">
      <c r="A195" t="s">
        <v>133</v>
      </c>
      <c r="B195">
        <v>9.6300000000000008</v>
      </c>
      <c r="C195">
        <v>8.57</v>
      </c>
      <c r="D195">
        <v>0.49</v>
      </c>
      <c r="E195">
        <v>0.14000000000000001</v>
      </c>
      <c r="F195" s="25">
        <v>3.6299999999999999E-2</v>
      </c>
      <c r="G195">
        <v>0.112</v>
      </c>
      <c r="H195">
        <v>0.48</v>
      </c>
      <c r="I195">
        <v>1.47</v>
      </c>
      <c r="J195">
        <v>3.31</v>
      </c>
      <c r="K195">
        <v>2.64</v>
      </c>
      <c r="L195">
        <v>1.76</v>
      </c>
      <c r="M195" s="25">
        <v>9.5399999999999999E-2</v>
      </c>
      <c r="N195" s="25">
        <v>4.8599999999999997E-2</v>
      </c>
      <c r="O195">
        <v>2.64</v>
      </c>
      <c r="P195" s="25">
        <v>0.09</v>
      </c>
      <c r="Q195" s="25">
        <v>5.74E-2</v>
      </c>
      <c r="R195" s="26">
        <v>67518800</v>
      </c>
      <c r="S195" s="26">
        <v>19459900000</v>
      </c>
      <c r="T195">
        <v>0.75</v>
      </c>
      <c r="U195" s="25">
        <v>3.73E-2</v>
      </c>
    </row>
    <row r="196" spans="1:21" x14ac:dyDescent="0.25">
      <c r="A196" t="s">
        <v>250</v>
      </c>
      <c r="B196">
        <v>0.79</v>
      </c>
      <c r="C196">
        <v>-112.13</v>
      </c>
      <c r="D196">
        <v>-34.340000000000003</v>
      </c>
      <c r="E196">
        <v>47.427</v>
      </c>
      <c r="F196" s="25">
        <v>0</v>
      </c>
      <c r="G196">
        <v>40.497999999999998</v>
      </c>
      <c r="H196">
        <v>-49.36</v>
      </c>
      <c r="I196" s="26">
        <v>-1785.15</v>
      </c>
      <c r="J196">
        <v>-21.29</v>
      </c>
      <c r="K196" s="26">
        <v>-1822.83</v>
      </c>
      <c r="L196">
        <v>595.66</v>
      </c>
      <c r="M196" s="25">
        <v>-2.6599999999999999E-2</v>
      </c>
      <c r="N196" s="25">
        <v>-0.42299999999999999</v>
      </c>
      <c r="O196">
        <v>0.25</v>
      </c>
      <c r="P196" s="25">
        <v>-2.7799999999999998E-2</v>
      </c>
      <c r="Q196" s="25">
        <v>0.30630000000000002</v>
      </c>
      <c r="R196" s="26">
        <v>9486840</v>
      </c>
      <c r="S196" s="26">
        <v>-27683900000</v>
      </c>
      <c r="T196">
        <v>-0.79</v>
      </c>
      <c r="U196" s="25">
        <v>0.43</v>
      </c>
    </row>
    <row r="197" spans="1:21" x14ac:dyDescent="0.25">
      <c r="A197" t="s">
        <v>399</v>
      </c>
      <c r="B197">
        <v>22.9</v>
      </c>
      <c r="C197">
        <v>55.5</v>
      </c>
      <c r="D197">
        <v>2.31</v>
      </c>
      <c r="E197">
        <v>56.457999999999998</v>
      </c>
      <c r="F197" s="25">
        <v>0</v>
      </c>
      <c r="G197">
        <v>2.1150000000000002</v>
      </c>
      <c r="H197">
        <v>6.26</v>
      </c>
      <c r="I197">
        <v>-100.73</v>
      </c>
      <c r="J197">
        <v>7.97</v>
      </c>
      <c r="K197">
        <v>-87.92</v>
      </c>
      <c r="L197">
        <v>-97.9</v>
      </c>
      <c r="M197" s="25">
        <v>-0.5605</v>
      </c>
      <c r="N197" s="25">
        <v>1.0183</v>
      </c>
      <c r="O197">
        <v>29.82</v>
      </c>
      <c r="P197" s="25">
        <v>-2.93E-2</v>
      </c>
      <c r="Q197" s="25">
        <v>4.1599999999999998E-2</v>
      </c>
      <c r="R197" s="26">
        <v>54.52</v>
      </c>
      <c r="S197" s="26">
        <v>789920000</v>
      </c>
      <c r="T197">
        <v>0.02</v>
      </c>
      <c r="U197" s="25">
        <v>-0.54990000000000006</v>
      </c>
    </row>
    <row r="198" spans="1:21" x14ac:dyDescent="0.25">
      <c r="A198" t="s">
        <v>400</v>
      </c>
      <c r="B198">
        <v>4.16</v>
      </c>
      <c r="C198">
        <v>-1.51</v>
      </c>
      <c r="D198">
        <v>0.21</v>
      </c>
      <c r="E198">
        <v>-4.274</v>
      </c>
      <c r="F198" s="25">
        <v>0</v>
      </c>
      <c r="G198">
        <v>0.105</v>
      </c>
      <c r="H198">
        <v>1.1100000000000001</v>
      </c>
      <c r="I198">
        <v>-1.96</v>
      </c>
      <c r="J198">
        <v>-4</v>
      </c>
      <c r="K198">
        <v>0.31</v>
      </c>
      <c r="L198">
        <v>0.31</v>
      </c>
      <c r="M198" s="25">
        <v>2.1772999999999998</v>
      </c>
      <c r="N198" s="25">
        <v>5.7458999999999998</v>
      </c>
      <c r="O198">
        <v>2.74</v>
      </c>
      <c r="P198" s="25">
        <v>-6.2399999999999997E-2</v>
      </c>
      <c r="Q198" s="25">
        <v>-0.1384</v>
      </c>
      <c r="R198" s="26">
        <v>38509.4</v>
      </c>
      <c r="S198" s="26">
        <v>1347650000</v>
      </c>
      <c r="T198">
        <v>0.03</v>
      </c>
      <c r="U198" s="25">
        <v>-9.7500000000000003E-2</v>
      </c>
    </row>
    <row r="199" spans="1:21" x14ac:dyDescent="0.25">
      <c r="A199" t="s">
        <v>75</v>
      </c>
      <c r="B199">
        <v>5.15</v>
      </c>
      <c r="C199">
        <v>6.55</v>
      </c>
      <c r="D199">
        <v>1.18</v>
      </c>
      <c r="E199">
        <v>1.7509999999999999</v>
      </c>
      <c r="F199" s="25">
        <v>9.3799999999999994E-2</v>
      </c>
      <c r="G199">
        <v>0.99299999999999999</v>
      </c>
      <c r="H199">
        <v>1.85</v>
      </c>
      <c r="I199">
        <v>9.3800000000000008</v>
      </c>
      <c r="J199">
        <v>1.87</v>
      </c>
      <c r="K199">
        <v>6.52</v>
      </c>
      <c r="L199">
        <v>5.7</v>
      </c>
      <c r="M199" s="25">
        <v>0.1867</v>
      </c>
      <c r="N199" s="25">
        <v>0.26719999999999999</v>
      </c>
      <c r="O199">
        <v>4.47</v>
      </c>
      <c r="P199" s="25">
        <v>0.16539999999999999</v>
      </c>
      <c r="Q199" s="25">
        <v>0.1802</v>
      </c>
      <c r="R199" s="26">
        <v>13928500</v>
      </c>
      <c r="S199" s="26">
        <v>3934740000</v>
      </c>
      <c r="T199">
        <v>0.05</v>
      </c>
      <c r="U199" s="25">
        <v>5.8200000000000002E-2</v>
      </c>
    </row>
    <row r="200" spans="1:21" x14ac:dyDescent="0.25">
      <c r="A200" t="s">
        <v>401</v>
      </c>
      <c r="B200">
        <v>4.3</v>
      </c>
      <c r="C200">
        <v>-0.01</v>
      </c>
      <c r="D200">
        <v>-0.01</v>
      </c>
      <c r="E200">
        <v>4.4999999999999998E-2</v>
      </c>
      <c r="F200" s="25">
        <v>0</v>
      </c>
      <c r="G200">
        <v>7.0000000000000001E-3</v>
      </c>
      <c r="H200">
        <v>-0.51</v>
      </c>
      <c r="I200">
        <v>0.15</v>
      </c>
      <c r="J200">
        <v>0</v>
      </c>
      <c r="K200">
        <v>39.6</v>
      </c>
      <c r="L200">
        <v>38.049999999999997</v>
      </c>
      <c r="M200" s="25">
        <v>0.2949</v>
      </c>
      <c r="N200" s="25">
        <v>-3.1928000000000001</v>
      </c>
      <c r="O200">
        <v>0.92</v>
      </c>
      <c r="P200" s="25">
        <v>5.0999999999999997E-2</v>
      </c>
      <c r="Q200" s="25">
        <v>0.4163</v>
      </c>
      <c r="R200" s="26">
        <v>4730.05</v>
      </c>
      <c r="S200" s="26">
        <v>-1409770000</v>
      </c>
      <c r="T200">
        <v>-1.6</v>
      </c>
      <c r="U200" s="25">
        <v>0.1696</v>
      </c>
    </row>
    <row r="201" spans="1:21" x14ac:dyDescent="0.25">
      <c r="A201" t="s">
        <v>216</v>
      </c>
      <c r="B201">
        <v>8.0299999999999994</v>
      </c>
      <c r="C201">
        <v>12.32</v>
      </c>
      <c r="D201">
        <v>0.74</v>
      </c>
      <c r="E201">
        <v>0.40699999999999997</v>
      </c>
      <c r="F201" s="25">
        <v>0</v>
      </c>
      <c r="G201">
        <v>0.30299999999999999</v>
      </c>
      <c r="H201">
        <v>1.48</v>
      </c>
      <c r="I201">
        <v>4.7</v>
      </c>
      <c r="J201">
        <v>10.65</v>
      </c>
      <c r="K201">
        <v>5.71</v>
      </c>
      <c r="L201">
        <v>3.15</v>
      </c>
      <c r="M201" s="25">
        <v>8.6699999999999999E-2</v>
      </c>
      <c r="N201" s="25">
        <v>3.3099999999999997E-2</v>
      </c>
      <c r="O201">
        <v>1.49</v>
      </c>
      <c r="P201" s="25">
        <v>7.8799999999999995E-2</v>
      </c>
      <c r="Q201" s="25">
        <v>6.0499999999999998E-2</v>
      </c>
      <c r="R201" s="26">
        <v>6396790</v>
      </c>
      <c r="S201" s="26">
        <v>5382710000</v>
      </c>
      <c r="T201">
        <v>0.37</v>
      </c>
      <c r="U201" s="25">
        <v>0.126</v>
      </c>
    </row>
    <row r="202" spans="1:21" x14ac:dyDescent="0.25">
      <c r="A202" t="s">
        <v>60</v>
      </c>
      <c r="B202">
        <v>1.93</v>
      </c>
      <c r="C202">
        <v>11.59</v>
      </c>
      <c r="D202">
        <v>-0.45</v>
      </c>
      <c r="E202">
        <v>0.75700000000000001</v>
      </c>
      <c r="F202" s="25">
        <v>0</v>
      </c>
      <c r="G202">
        <v>0.34200000000000003</v>
      </c>
      <c r="H202">
        <v>0.65</v>
      </c>
      <c r="I202">
        <v>-14.67</v>
      </c>
      <c r="J202">
        <v>-0.4</v>
      </c>
      <c r="K202">
        <v>3.21</v>
      </c>
      <c r="L202">
        <v>9.18</v>
      </c>
      <c r="M202" s="25">
        <v>-5.16E-2</v>
      </c>
      <c r="N202" s="25">
        <v>6.5299999999999997E-2</v>
      </c>
      <c r="O202">
        <v>2.4300000000000002</v>
      </c>
      <c r="P202" s="25">
        <v>-9.11E-2</v>
      </c>
      <c r="Q202" s="25">
        <v>-3.9E-2</v>
      </c>
      <c r="R202" s="26">
        <v>1703.05</v>
      </c>
      <c r="S202" s="26">
        <v>-50773000</v>
      </c>
      <c r="T202">
        <v>-0.41</v>
      </c>
      <c r="U202" s="25">
        <v>-6.59E-2</v>
      </c>
    </row>
    <row r="203" spans="1:21" x14ac:dyDescent="0.25">
      <c r="A203" t="s">
        <v>29</v>
      </c>
      <c r="B203">
        <v>1.1599999999999999</v>
      </c>
      <c r="C203">
        <v>6.97</v>
      </c>
      <c r="D203">
        <v>-0.27</v>
      </c>
      <c r="E203">
        <v>0.45500000000000002</v>
      </c>
      <c r="F203" s="25">
        <v>0</v>
      </c>
      <c r="G203">
        <v>0.20599999999999999</v>
      </c>
      <c r="H203">
        <v>0.39</v>
      </c>
      <c r="I203">
        <v>-8.82</v>
      </c>
      <c r="J203">
        <v>-0.24</v>
      </c>
      <c r="K203">
        <v>9.06</v>
      </c>
      <c r="L203">
        <v>25.94</v>
      </c>
      <c r="M203" s="25">
        <v>-5.16E-2</v>
      </c>
      <c r="N203" s="25">
        <v>6.5299999999999997E-2</v>
      </c>
      <c r="O203">
        <v>2.4300000000000002</v>
      </c>
      <c r="P203" s="25">
        <v>-9.11E-2</v>
      </c>
      <c r="Q203" s="25">
        <v>-3.9E-2</v>
      </c>
      <c r="R203" s="26">
        <v>9753.43</v>
      </c>
      <c r="S203" s="26">
        <v>-50773000</v>
      </c>
      <c r="T203">
        <v>-0.41</v>
      </c>
      <c r="U203" s="25">
        <v>-6.59E-2</v>
      </c>
    </row>
    <row r="204" spans="1:21" x14ac:dyDescent="0.25">
      <c r="A204" t="s">
        <v>241</v>
      </c>
      <c r="B204">
        <v>31.82</v>
      </c>
      <c r="C204">
        <v>-30.27</v>
      </c>
      <c r="D204">
        <v>0.33</v>
      </c>
      <c r="E204">
        <v>0.55000000000000004</v>
      </c>
      <c r="F204" s="25">
        <v>0</v>
      </c>
      <c r="G204">
        <v>0.215</v>
      </c>
      <c r="H204">
        <v>2.5099999999999998</v>
      </c>
      <c r="I204">
        <v>18.68</v>
      </c>
      <c r="J204">
        <v>-1.21</v>
      </c>
      <c r="K204">
        <v>22.97</v>
      </c>
      <c r="L204">
        <v>11.18</v>
      </c>
      <c r="M204" s="25">
        <v>2.9499999999999998E-2</v>
      </c>
      <c r="N204" s="25">
        <v>-1.8200000000000001E-2</v>
      </c>
      <c r="O204">
        <v>2.1</v>
      </c>
      <c r="P204" s="25">
        <v>1.3299999999999999E-2</v>
      </c>
      <c r="Q204" s="25">
        <v>-1.0800000000000001E-2</v>
      </c>
      <c r="R204" s="26">
        <v>187544000</v>
      </c>
      <c r="S204" s="26">
        <v>48864200000</v>
      </c>
      <c r="T204">
        <v>0.27</v>
      </c>
      <c r="U204" s="25">
        <v>0.3775</v>
      </c>
    </row>
    <row r="205" spans="1:21" x14ac:dyDescent="0.25">
      <c r="A205" t="s">
        <v>210</v>
      </c>
      <c r="B205">
        <v>2.4900000000000002</v>
      </c>
      <c r="C205">
        <v>5.84</v>
      </c>
      <c r="D205">
        <v>0.23</v>
      </c>
      <c r="E205">
        <v>0.26200000000000001</v>
      </c>
      <c r="F205" s="25">
        <v>4.0599999999999997E-2</v>
      </c>
      <c r="G205">
        <v>5.1999999999999998E-2</v>
      </c>
      <c r="H205">
        <v>0.36</v>
      </c>
      <c r="I205">
        <v>1.58</v>
      </c>
      <c r="J205">
        <v>-0.28999999999999998</v>
      </c>
      <c r="K205">
        <v>8.66</v>
      </c>
      <c r="L205">
        <v>7.57</v>
      </c>
      <c r="M205" s="25">
        <v>0.16569999999999999</v>
      </c>
      <c r="N205" s="25">
        <v>0.12989999999999999</v>
      </c>
      <c r="O205">
        <v>1.61</v>
      </c>
      <c r="P205" s="25">
        <v>3.4700000000000002E-2</v>
      </c>
      <c r="Q205" s="25">
        <v>3.9100000000000003E-2</v>
      </c>
      <c r="R205" s="26">
        <v>4057310</v>
      </c>
      <c r="S205" s="26">
        <v>1459720000</v>
      </c>
      <c r="T205">
        <v>1.18</v>
      </c>
      <c r="U205" s="25">
        <v>9.6799999999999997E-2</v>
      </c>
    </row>
    <row r="206" spans="1:21" x14ac:dyDescent="0.25">
      <c r="A206" t="s">
        <v>223</v>
      </c>
      <c r="B206">
        <v>3.05</v>
      </c>
      <c r="C206">
        <v>8.8699999999999992</v>
      </c>
      <c r="D206">
        <v>0.15</v>
      </c>
      <c r="E206">
        <v>1.8420000000000001</v>
      </c>
      <c r="F206" s="25">
        <v>0</v>
      </c>
      <c r="G206">
        <v>6.0999999999999999E-2</v>
      </c>
      <c r="H206">
        <v>1.72</v>
      </c>
      <c r="I206">
        <v>1.1000000000000001</v>
      </c>
      <c r="J206">
        <v>-0.19</v>
      </c>
      <c r="K206">
        <v>6.09</v>
      </c>
      <c r="L206">
        <v>5.98</v>
      </c>
      <c r="M206" s="25">
        <v>1.6667000000000001</v>
      </c>
      <c r="N206" s="25">
        <v>0.70950000000000002</v>
      </c>
      <c r="O206">
        <v>1.57</v>
      </c>
      <c r="P206" s="25">
        <v>5.74E-2</v>
      </c>
      <c r="Q206" s="25">
        <v>1.7399999999999999E-2</v>
      </c>
      <c r="R206" s="26">
        <v>1195830</v>
      </c>
      <c r="S206" s="26">
        <v>2040590000</v>
      </c>
      <c r="T206">
        <v>0.77</v>
      </c>
      <c r="U206" s="25">
        <v>0.2213</v>
      </c>
    </row>
    <row r="207" spans="1:21" x14ac:dyDescent="0.25">
      <c r="A207" t="s">
        <v>100</v>
      </c>
      <c r="B207">
        <v>3.77</v>
      </c>
      <c r="C207">
        <v>-9.7200000000000006</v>
      </c>
      <c r="D207">
        <v>5.4</v>
      </c>
      <c r="E207">
        <v>3.5790000000000002</v>
      </c>
      <c r="F207" s="25">
        <v>0</v>
      </c>
      <c r="G207">
        <v>0.81899999999999995</v>
      </c>
      <c r="H207">
        <v>7.99</v>
      </c>
      <c r="I207">
        <v>-26.45</v>
      </c>
      <c r="J207">
        <v>-1.38</v>
      </c>
      <c r="K207">
        <v>-44.26</v>
      </c>
      <c r="L207">
        <v>37.81</v>
      </c>
      <c r="M207" s="25">
        <v>-0.1353</v>
      </c>
      <c r="N207" s="25">
        <v>-0.36820000000000003</v>
      </c>
      <c r="O207">
        <v>1.67</v>
      </c>
      <c r="P207" s="25">
        <v>-3.3599999999999998E-2</v>
      </c>
      <c r="Q207" s="25">
        <v>-0.55549999999999999</v>
      </c>
      <c r="R207" s="26">
        <v>10497300</v>
      </c>
      <c r="S207" s="26">
        <v>949871000</v>
      </c>
      <c r="T207">
        <v>4.05</v>
      </c>
      <c r="U207" s="25">
        <v>2.8000000000000001E-2</v>
      </c>
    </row>
    <row r="208" spans="1:21" x14ac:dyDescent="0.25">
      <c r="A208" t="s">
        <v>402</v>
      </c>
      <c r="B208">
        <v>28.06</v>
      </c>
      <c r="C208">
        <v>12.47</v>
      </c>
      <c r="D208">
        <v>0.4</v>
      </c>
      <c r="E208">
        <v>3.6989999999999998</v>
      </c>
      <c r="F208" s="25">
        <v>0.2102</v>
      </c>
      <c r="G208">
        <v>0.159</v>
      </c>
      <c r="H208">
        <v>4.8600000000000003</v>
      </c>
      <c r="I208">
        <v>-4.32</v>
      </c>
      <c r="J208">
        <v>-0.33</v>
      </c>
      <c r="K208">
        <v>-8.2100000000000009</v>
      </c>
      <c r="L208">
        <v>-8.4600000000000009</v>
      </c>
      <c r="M208" s="25">
        <v>-0.85560000000000003</v>
      </c>
      <c r="N208" s="25">
        <v>0.29649999999999999</v>
      </c>
      <c r="O208">
        <v>1.37</v>
      </c>
      <c r="P208" s="25">
        <v>-3.7999999999999999E-2</v>
      </c>
      <c r="Q208" s="25">
        <v>3.1699999999999999E-2</v>
      </c>
      <c r="R208" s="26">
        <v>4124.4799999999996</v>
      </c>
      <c r="S208" s="26">
        <v>647667000</v>
      </c>
      <c r="T208">
        <v>0.43</v>
      </c>
      <c r="U208" s="25">
        <v>-8.4599999999999995E-2</v>
      </c>
    </row>
    <row r="209" spans="1:21" x14ac:dyDescent="0.25">
      <c r="A209" t="s">
        <v>403</v>
      </c>
      <c r="B209">
        <v>5.5</v>
      </c>
      <c r="C209">
        <v>3.18</v>
      </c>
      <c r="D209">
        <v>-0.01</v>
      </c>
      <c r="E209">
        <v>0.66900000000000004</v>
      </c>
      <c r="F209" s="25">
        <v>0</v>
      </c>
      <c r="G209">
        <v>0.22700000000000001</v>
      </c>
      <c r="H209">
        <v>-0.8</v>
      </c>
      <c r="I209">
        <v>0.72</v>
      </c>
      <c r="J209">
        <v>-0.01</v>
      </c>
      <c r="K209">
        <v>83.92</v>
      </c>
      <c r="L209">
        <v>83.92</v>
      </c>
      <c r="M209" s="25">
        <v>0.93100000000000005</v>
      </c>
      <c r="N209" s="25">
        <v>0.21049999999999999</v>
      </c>
      <c r="O209">
        <v>0.32</v>
      </c>
      <c r="P209" s="25">
        <v>0.31859999999999999</v>
      </c>
      <c r="Q209" s="25">
        <v>-2.5000000000000001E-3</v>
      </c>
      <c r="R209" s="26">
        <v>78.67</v>
      </c>
      <c r="S209" s="26">
        <v>-350747000</v>
      </c>
      <c r="T209">
        <v>-0.93</v>
      </c>
      <c r="U209" s="25">
        <v>0.25180000000000002</v>
      </c>
    </row>
    <row r="210" spans="1:21" x14ac:dyDescent="0.25">
      <c r="A210" t="s">
        <v>404</v>
      </c>
      <c r="B210">
        <v>3.9</v>
      </c>
      <c r="C210">
        <v>0.88</v>
      </c>
      <c r="D210">
        <v>-1.5</v>
      </c>
      <c r="E210">
        <v>0.40200000000000002</v>
      </c>
      <c r="F210" s="25">
        <v>0</v>
      </c>
      <c r="G210">
        <v>0.13700000000000001</v>
      </c>
      <c r="H210">
        <v>-1.24</v>
      </c>
      <c r="I210">
        <v>1.1399999999999999</v>
      </c>
      <c r="J210">
        <v>-0.14000000000000001</v>
      </c>
      <c r="K210">
        <v>0.63</v>
      </c>
      <c r="L210">
        <v>0.54</v>
      </c>
      <c r="M210" s="25">
        <v>0.35339999999999999</v>
      </c>
      <c r="N210" s="25">
        <v>0.45440000000000003</v>
      </c>
      <c r="O210">
        <v>0.64</v>
      </c>
      <c r="P210" s="25">
        <v>0.13039999999999999</v>
      </c>
      <c r="Q210" s="25">
        <v>-1.6920999999999999</v>
      </c>
      <c r="R210" s="26">
        <v>29425.9</v>
      </c>
      <c r="S210" s="26">
        <v>-47880000</v>
      </c>
      <c r="T210">
        <v>-0.02</v>
      </c>
      <c r="U210" s="25">
        <v>0.67969999999999997</v>
      </c>
    </row>
    <row r="211" spans="1:21" x14ac:dyDescent="0.25">
      <c r="A211" t="s">
        <v>229</v>
      </c>
      <c r="B211">
        <v>26.48</v>
      </c>
      <c r="C211">
        <v>20.74</v>
      </c>
      <c r="D211">
        <v>1.43</v>
      </c>
      <c r="E211">
        <v>2.5049999999999999</v>
      </c>
      <c r="F211" s="25">
        <v>4.41E-2</v>
      </c>
      <c r="G211">
        <v>0.68899999999999995</v>
      </c>
      <c r="H211">
        <v>13.7</v>
      </c>
      <c r="I211">
        <v>17.559999999999999</v>
      </c>
      <c r="J211">
        <v>-2.5</v>
      </c>
      <c r="K211">
        <v>25.47</v>
      </c>
      <c r="L211">
        <v>19.54</v>
      </c>
      <c r="M211" s="25">
        <v>0.1426</v>
      </c>
      <c r="N211" s="25">
        <v>0.1196</v>
      </c>
      <c r="O211">
        <v>1.26</v>
      </c>
      <c r="P211" s="25">
        <v>4.2999999999999997E-2</v>
      </c>
      <c r="Q211" s="25">
        <v>6.8900000000000003E-2</v>
      </c>
      <c r="R211" s="26">
        <v>82931500</v>
      </c>
      <c r="S211" s="26">
        <v>11738300000</v>
      </c>
      <c r="T211">
        <v>0.79</v>
      </c>
      <c r="U211" s="25">
        <v>0.113</v>
      </c>
    </row>
    <row r="212" spans="1:21" x14ac:dyDescent="0.25">
      <c r="A212" t="s">
        <v>240</v>
      </c>
      <c r="B212">
        <v>0.04</v>
      </c>
      <c r="C212">
        <v>-0.04</v>
      </c>
      <c r="D212">
        <v>-0.49</v>
      </c>
      <c r="E212">
        <v>7.0000000000000007E-2</v>
      </c>
      <c r="F212" s="25">
        <v>0</v>
      </c>
      <c r="G212">
        <v>4.9000000000000002E-2</v>
      </c>
      <c r="H212">
        <v>-0.27</v>
      </c>
      <c r="I212">
        <v>-0.05</v>
      </c>
      <c r="J212">
        <v>-0.08</v>
      </c>
      <c r="K212">
        <v>-0.53</v>
      </c>
      <c r="L212">
        <v>-0.56999999999999995</v>
      </c>
      <c r="M212" s="25">
        <v>-1.4795</v>
      </c>
      <c r="N212" s="25">
        <v>-1.6592</v>
      </c>
      <c r="O212">
        <v>0.73</v>
      </c>
      <c r="P212" s="25">
        <v>-1.4582999999999999</v>
      </c>
      <c r="Q212" s="25">
        <v>11.5709</v>
      </c>
      <c r="R212" s="26">
        <v>671641</v>
      </c>
      <c r="S212" s="26">
        <v>-147834000</v>
      </c>
      <c r="T212">
        <v>-5.62</v>
      </c>
      <c r="U212" s="25">
        <v>0.23169999999999999</v>
      </c>
    </row>
    <row r="213" spans="1:21" x14ac:dyDescent="0.25">
      <c r="A213" t="s">
        <v>405</v>
      </c>
      <c r="B213">
        <v>175.99</v>
      </c>
      <c r="C213">
        <v>0.56000000000000005</v>
      </c>
      <c r="D213">
        <v>-0.34</v>
      </c>
      <c r="E213">
        <v>30.247</v>
      </c>
      <c r="F213" s="25">
        <v>0</v>
      </c>
      <c r="G213">
        <v>1.0349999999999999</v>
      </c>
      <c r="H213">
        <v>-0.99</v>
      </c>
      <c r="I213">
        <v>-3.7</v>
      </c>
      <c r="J213">
        <v>-0.28999999999999998</v>
      </c>
      <c r="K213">
        <v>-7.85</v>
      </c>
      <c r="L213">
        <v>-8.2100000000000009</v>
      </c>
      <c r="M213" s="25">
        <v>-8.1712000000000007</v>
      </c>
      <c r="N213" s="25">
        <v>53.793199999999999</v>
      </c>
      <c r="O213">
        <v>0.33</v>
      </c>
      <c r="P213" s="25">
        <v>-0.57989999999999997</v>
      </c>
      <c r="Q213" s="25">
        <v>-0.60099999999999998</v>
      </c>
      <c r="R213" s="26">
        <v>10393.299999999999</v>
      </c>
      <c r="S213" s="26">
        <v>-650957000</v>
      </c>
      <c r="T213">
        <v>-0.54</v>
      </c>
      <c r="U213" s="25">
        <v>0.13969999999999999</v>
      </c>
    </row>
    <row r="214" spans="1:21" x14ac:dyDescent="0.25">
      <c r="A214" t="s">
        <v>406</v>
      </c>
      <c r="B214">
        <v>21.34</v>
      </c>
      <c r="C214">
        <v>14.86</v>
      </c>
      <c r="D214">
        <v>1.44</v>
      </c>
      <c r="E214">
        <v>4.992</v>
      </c>
      <c r="F214" s="25">
        <v>1.84E-2</v>
      </c>
      <c r="G214">
        <v>0.70699999999999996</v>
      </c>
      <c r="H214">
        <v>2.96</v>
      </c>
      <c r="I214">
        <v>8.9600000000000009</v>
      </c>
      <c r="J214">
        <v>-3.42</v>
      </c>
      <c r="K214">
        <v>11.56</v>
      </c>
      <c r="L214">
        <v>9.2899999999999991</v>
      </c>
      <c r="M214" s="25">
        <v>0.55730000000000002</v>
      </c>
      <c r="N214" s="25">
        <v>0.33600000000000002</v>
      </c>
      <c r="O214">
        <v>4.9000000000000004</v>
      </c>
      <c r="P214" s="25">
        <v>0.1065</v>
      </c>
      <c r="Q214" s="25">
        <v>9.6600000000000005E-2</v>
      </c>
      <c r="R214" s="26">
        <v>60146800</v>
      </c>
      <c r="S214" s="26">
        <v>4409240000</v>
      </c>
      <c r="T214">
        <v>0.94</v>
      </c>
      <c r="U214" s="25">
        <v>0.15790000000000001</v>
      </c>
    </row>
    <row r="215" spans="1:21" x14ac:dyDescent="0.25">
      <c r="A215" t="s">
        <v>108</v>
      </c>
      <c r="B215">
        <v>2.46</v>
      </c>
      <c r="C215">
        <v>11.99</v>
      </c>
      <c r="D215">
        <v>1.1599999999999999</v>
      </c>
      <c r="E215">
        <v>4.0279999999999996</v>
      </c>
      <c r="F215" s="25">
        <v>2.2800000000000001E-2</v>
      </c>
      <c r="G215">
        <v>0.57099999999999995</v>
      </c>
      <c r="H215">
        <v>2.39</v>
      </c>
      <c r="I215">
        <v>7.23</v>
      </c>
      <c r="J215">
        <v>-2.76</v>
      </c>
      <c r="K215">
        <v>9.83</v>
      </c>
      <c r="L215">
        <v>7.9</v>
      </c>
      <c r="M215" s="25">
        <v>0.55730000000000002</v>
      </c>
      <c r="N215" s="25">
        <v>0.33600000000000002</v>
      </c>
      <c r="O215">
        <v>4.9000000000000004</v>
      </c>
      <c r="P215" s="25">
        <v>0.1065</v>
      </c>
      <c r="Q215" s="25">
        <v>9.6600000000000005E-2</v>
      </c>
      <c r="R215" s="26">
        <v>170617</v>
      </c>
      <c r="S215" s="26">
        <v>4409240000</v>
      </c>
      <c r="T215">
        <v>0.94</v>
      </c>
      <c r="U215" s="25">
        <v>0.15790000000000001</v>
      </c>
    </row>
    <row r="216" spans="1:21" x14ac:dyDescent="0.25">
      <c r="A216" t="s">
        <v>407</v>
      </c>
      <c r="B216">
        <v>1.87</v>
      </c>
      <c r="C216">
        <v>-0.36</v>
      </c>
      <c r="D216">
        <v>-0.06</v>
      </c>
      <c r="E216">
        <v>18.949000000000002</v>
      </c>
      <c r="F216" s="25">
        <v>0</v>
      </c>
      <c r="G216">
        <v>8.8999999999999996E-2</v>
      </c>
      <c r="H216">
        <v>-7.0000000000000007E-2</v>
      </c>
      <c r="I216">
        <v>-1.1499999999999999</v>
      </c>
      <c r="J216">
        <v>-0.04</v>
      </c>
      <c r="K216">
        <v>-13.94</v>
      </c>
      <c r="L216">
        <v>-15.33</v>
      </c>
      <c r="M216" s="25">
        <v>-16.470199999999998</v>
      </c>
      <c r="N216" s="25">
        <v>-53.787599999999998</v>
      </c>
      <c r="O216">
        <v>0.08</v>
      </c>
      <c r="P216" s="25">
        <v>-8.3099999999999993E-2</v>
      </c>
      <c r="Q216" s="25">
        <v>0.16059999999999999</v>
      </c>
      <c r="R216" s="26">
        <v>47751.5</v>
      </c>
      <c r="S216" s="26">
        <v>-1448530000</v>
      </c>
      <c r="T216">
        <v>-0.64</v>
      </c>
      <c r="U216" s="25">
        <v>-0.21640000000000001</v>
      </c>
    </row>
    <row r="217" spans="1:21" x14ac:dyDescent="0.25">
      <c r="A217" t="s">
        <v>244</v>
      </c>
      <c r="B217">
        <v>1.5</v>
      </c>
      <c r="C217">
        <v>-0.28999999999999998</v>
      </c>
      <c r="D217">
        <v>-0.05</v>
      </c>
      <c r="E217">
        <v>15.2</v>
      </c>
      <c r="F217" s="25">
        <v>0</v>
      </c>
      <c r="G217">
        <v>7.1999999999999995E-2</v>
      </c>
      <c r="H217">
        <v>-0.06</v>
      </c>
      <c r="I217">
        <v>-0.92</v>
      </c>
      <c r="J217">
        <v>-0.03</v>
      </c>
      <c r="K217">
        <v>-13.71</v>
      </c>
      <c r="L217">
        <v>-15.08</v>
      </c>
      <c r="M217" s="25">
        <v>-16.470199999999998</v>
      </c>
      <c r="N217" s="25">
        <v>-53.787599999999998</v>
      </c>
      <c r="O217">
        <v>0.08</v>
      </c>
      <c r="P217" s="25">
        <v>-8.3099999999999993E-2</v>
      </c>
      <c r="Q217" s="25">
        <v>0.16059999999999999</v>
      </c>
      <c r="R217" s="26">
        <v>49477.8</v>
      </c>
      <c r="S217" s="26">
        <v>-1448530000</v>
      </c>
      <c r="T217">
        <v>-0.64</v>
      </c>
      <c r="U217" s="25">
        <v>-0.21640000000000001</v>
      </c>
    </row>
    <row r="218" spans="1:21" x14ac:dyDescent="0.25">
      <c r="A218" t="s">
        <v>136</v>
      </c>
      <c r="B218">
        <v>14.96</v>
      </c>
      <c r="C218">
        <v>11.23</v>
      </c>
      <c r="D218">
        <v>1.67</v>
      </c>
      <c r="E218">
        <v>1.0569999999999999</v>
      </c>
      <c r="F218" s="25">
        <v>3.0800000000000001E-2</v>
      </c>
      <c r="G218">
        <v>0.95799999999999996</v>
      </c>
      <c r="H218">
        <v>2.12</v>
      </c>
      <c r="I218">
        <v>10.029999999999999</v>
      </c>
      <c r="J218">
        <v>3.32</v>
      </c>
      <c r="K218">
        <v>10.7</v>
      </c>
      <c r="L218">
        <v>8.82</v>
      </c>
      <c r="M218" s="25">
        <v>0.10539999999999999</v>
      </c>
      <c r="N218" s="25">
        <v>9.4E-2</v>
      </c>
      <c r="O218">
        <v>2.77</v>
      </c>
      <c r="P218" s="25">
        <v>0.1321</v>
      </c>
      <c r="Q218" s="25">
        <v>0.1484</v>
      </c>
      <c r="R218" s="26">
        <v>34208400</v>
      </c>
      <c r="S218" s="26">
        <v>2941250000</v>
      </c>
      <c r="T218">
        <v>0.33</v>
      </c>
      <c r="U218" s="25">
        <v>0.1691</v>
      </c>
    </row>
    <row r="219" spans="1:21" x14ac:dyDescent="0.25">
      <c r="A219" t="s">
        <v>73</v>
      </c>
      <c r="B219">
        <v>44.66</v>
      </c>
      <c r="C219">
        <v>-35.58</v>
      </c>
      <c r="D219">
        <v>0.72</v>
      </c>
      <c r="E219">
        <v>0.61</v>
      </c>
      <c r="F219" s="25">
        <v>0</v>
      </c>
      <c r="G219">
        <v>0.22800000000000001</v>
      </c>
      <c r="H219">
        <v>0</v>
      </c>
      <c r="I219">
        <v>4.72</v>
      </c>
      <c r="J219">
        <v>0</v>
      </c>
      <c r="K219">
        <v>0</v>
      </c>
      <c r="L219">
        <v>0</v>
      </c>
      <c r="M219" s="25">
        <v>0.129</v>
      </c>
      <c r="N219" s="25">
        <v>-1.7100000000000001E-2</v>
      </c>
      <c r="O219">
        <v>0</v>
      </c>
      <c r="P219" s="25">
        <v>0</v>
      </c>
      <c r="Q219" s="25">
        <v>-2.0199999999999999E-2</v>
      </c>
      <c r="R219" s="26">
        <v>37080600</v>
      </c>
      <c r="S219" s="26">
        <v>5087450000</v>
      </c>
      <c r="T219">
        <v>0</v>
      </c>
      <c r="U219" s="25">
        <v>0</v>
      </c>
    </row>
    <row r="220" spans="1:21" x14ac:dyDescent="0.25">
      <c r="A220" t="s">
        <v>408</v>
      </c>
      <c r="B220">
        <v>30.9</v>
      </c>
      <c r="C220">
        <v>5.71</v>
      </c>
      <c r="D220">
        <v>1</v>
      </c>
      <c r="E220">
        <v>2.4239999999999999</v>
      </c>
      <c r="F220" s="25">
        <v>7.6399999999999996E-2</v>
      </c>
      <c r="G220">
        <v>0.45600000000000002</v>
      </c>
      <c r="H220">
        <v>3.44</v>
      </c>
      <c r="I220">
        <v>4.34</v>
      </c>
      <c r="J220">
        <v>-1.29</v>
      </c>
      <c r="K220">
        <v>6.83</v>
      </c>
      <c r="L220">
        <v>6.78</v>
      </c>
      <c r="M220" s="25">
        <v>0.55840000000000001</v>
      </c>
      <c r="N220" s="25">
        <v>0.43109999999999998</v>
      </c>
      <c r="O220">
        <v>3.77</v>
      </c>
      <c r="P220" s="25">
        <v>0.114</v>
      </c>
      <c r="Q220" s="25">
        <v>0.17480000000000001</v>
      </c>
      <c r="R220" s="26">
        <v>77678.5</v>
      </c>
      <c r="S220" s="26">
        <v>20414900000</v>
      </c>
      <c r="T220">
        <v>0.73</v>
      </c>
      <c r="U220" s="25">
        <v>0.17660000000000001</v>
      </c>
    </row>
    <row r="221" spans="1:21" x14ac:dyDescent="0.25">
      <c r="A221" t="s">
        <v>5</v>
      </c>
      <c r="B221">
        <v>22.44</v>
      </c>
      <c r="C221">
        <v>4.1399999999999997</v>
      </c>
      <c r="D221">
        <v>0.72</v>
      </c>
      <c r="E221">
        <v>1.76</v>
      </c>
      <c r="F221" s="25">
        <v>0.1052</v>
      </c>
      <c r="G221">
        <v>0.33100000000000002</v>
      </c>
      <c r="H221">
        <v>2.5</v>
      </c>
      <c r="I221">
        <v>3.15</v>
      </c>
      <c r="J221">
        <v>-0.94</v>
      </c>
      <c r="K221">
        <v>5.64</v>
      </c>
      <c r="L221">
        <v>5.6</v>
      </c>
      <c r="M221" s="25">
        <v>0.55840000000000001</v>
      </c>
      <c r="N221" s="25">
        <v>0.43109999999999998</v>
      </c>
      <c r="O221">
        <v>3.77</v>
      </c>
      <c r="P221" s="25">
        <v>0.114</v>
      </c>
      <c r="Q221" s="25">
        <v>0.17480000000000001</v>
      </c>
      <c r="R221" s="26">
        <v>34640800</v>
      </c>
      <c r="S221" s="26">
        <v>20414900000</v>
      </c>
      <c r="T221">
        <v>0.73</v>
      </c>
      <c r="U221" s="25">
        <v>0.17660000000000001</v>
      </c>
    </row>
    <row r="222" spans="1:21" x14ac:dyDescent="0.25">
      <c r="A222" t="s">
        <v>40</v>
      </c>
      <c r="B222">
        <v>10.53</v>
      </c>
      <c r="C222">
        <v>7.61</v>
      </c>
      <c r="D222">
        <v>1.35</v>
      </c>
      <c r="E222">
        <v>14.114000000000001</v>
      </c>
      <c r="F222" s="25">
        <v>8.0299999999999996E-2</v>
      </c>
      <c r="G222">
        <v>1.046</v>
      </c>
      <c r="H222">
        <v>19.25</v>
      </c>
      <c r="I222">
        <v>203.45</v>
      </c>
      <c r="J222">
        <v>-14.47</v>
      </c>
      <c r="K222">
        <v>210.18</v>
      </c>
      <c r="L222">
        <v>66.959999999999994</v>
      </c>
      <c r="M222" s="25">
        <v>6.9400000000000003E-2</v>
      </c>
      <c r="N222" s="25">
        <v>1.8759999999999999</v>
      </c>
      <c r="O222">
        <v>1.97</v>
      </c>
      <c r="P222" s="25">
        <v>5.5999999999999999E-3</v>
      </c>
      <c r="Q222" s="25">
        <v>0.17710000000000001</v>
      </c>
      <c r="R222" s="26">
        <v>1087820</v>
      </c>
      <c r="S222" s="26">
        <v>85938000000</v>
      </c>
      <c r="T222">
        <v>0.13</v>
      </c>
      <c r="U222" s="25">
        <v>3.61E-2</v>
      </c>
    </row>
    <row r="223" spans="1:21" x14ac:dyDescent="0.25">
      <c r="A223" t="s">
        <v>49</v>
      </c>
      <c r="B223">
        <v>10.54</v>
      </c>
      <c r="C223">
        <v>7.61</v>
      </c>
      <c r="D223">
        <v>1.35</v>
      </c>
      <c r="E223">
        <v>14.128</v>
      </c>
      <c r="F223" s="25">
        <v>8.0199999999999994E-2</v>
      </c>
      <c r="G223">
        <v>1.0469999999999999</v>
      </c>
      <c r="H223">
        <v>19.27</v>
      </c>
      <c r="I223">
        <v>203.65</v>
      </c>
      <c r="J223">
        <v>-14.48</v>
      </c>
      <c r="K223">
        <v>210.37</v>
      </c>
      <c r="L223">
        <v>67.02</v>
      </c>
      <c r="M223" s="25">
        <v>6.9400000000000003E-2</v>
      </c>
      <c r="N223" s="25">
        <v>1.8759999999999999</v>
      </c>
      <c r="O223">
        <v>1.97</v>
      </c>
      <c r="P223" s="25">
        <v>5.5999999999999999E-3</v>
      </c>
      <c r="Q223" s="25">
        <v>0.17710000000000001</v>
      </c>
      <c r="R223" s="26">
        <v>261915000</v>
      </c>
      <c r="S223" s="26">
        <v>85938000000</v>
      </c>
      <c r="T223">
        <v>0.13</v>
      </c>
      <c r="U223" s="25">
        <v>3.61E-2</v>
      </c>
    </row>
    <row r="224" spans="1:21" x14ac:dyDescent="0.25">
      <c r="A224" t="s">
        <v>62</v>
      </c>
      <c r="B224">
        <v>31.77</v>
      </c>
      <c r="C224">
        <v>8.6999999999999993</v>
      </c>
      <c r="D224">
        <v>1.77</v>
      </c>
      <c r="E224">
        <v>0</v>
      </c>
      <c r="F224" s="25">
        <v>7.8700000000000006E-2</v>
      </c>
      <c r="G224">
        <v>0</v>
      </c>
      <c r="H224">
        <v>0</v>
      </c>
      <c r="I224">
        <v>0</v>
      </c>
      <c r="J224">
        <v>0</v>
      </c>
      <c r="K224">
        <v>0</v>
      </c>
      <c r="L224">
        <v>0</v>
      </c>
      <c r="M224" s="25">
        <v>0</v>
      </c>
      <c r="N224" s="25">
        <v>0</v>
      </c>
      <c r="O224">
        <v>0</v>
      </c>
      <c r="P224" s="25">
        <v>0</v>
      </c>
      <c r="Q224" s="25">
        <v>0.20330000000000001</v>
      </c>
      <c r="R224" s="26">
        <v>16443600</v>
      </c>
      <c r="S224" s="26">
        <v>193682000000</v>
      </c>
      <c r="T224">
        <v>0</v>
      </c>
      <c r="U224" s="25">
        <v>0.79800000000000004</v>
      </c>
    </row>
    <row r="225" spans="1:21" x14ac:dyDescent="0.25">
      <c r="A225" t="s">
        <v>44</v>
      </c>
      <c r="B225">
        <v>35.39</v>
      </c>
      <c r="C225">
        <v>9.69</v>
      </c>
      <c r="D225">
        <v>1.97</v>
      </c>
      <c r="E225">
        <v>0</v>
      </c>
      <c r="F225" s="25">
        <v>7.0599999999999996E-2</v>
      </c>
      <c r="G225">
        <v>0</v>
      </c>
      <c r="H225">
        <v>0</v>
      </c>
      <c r="I225">
        <v>0</v>
      </c>
      <c r="J225">
        <v>0</v>
      </c>
      <c r="K225">
        <v>0</v>
      </c>
      <c r="L225">
        <v>0</v>
      </c>
      <c r="M225" s="25">
        <v>0</v>
      </c>
      <c r="N225" s="25">
        <v>0</v>
      </c>
      <c r="O225">
        <v>0</v>
      </c>
      <c r="P225" s="25">
        <v>0</v>
      </c>
      <c r="Q225" s="25">
        <v>0.20330000000000001</v>
      </c>
      <c r="R225" s="26">
        <v>743309000</v>
      </c>
      <c r="S225" s="26">
        <v>193682000000</v>
      </c>
      <c r="T225">
        <v>0</v>
      </c>
      <c r="U225" s="25">
        <v>0.79800000000000004</v>
      </c>
    </row>
    <row r="226" spans="1:21" x14ac:dyDescent="0.25">
      <c r="A226" t="s">
        <v>126</v>
      </c>
      <c r="B226">
        <v>3.51</v>
      </c>
      <c r="C226">
        <v>-19.04</v>
      </c>
      <c r="D226">
        <v>0.53</v>
      </c>
      <c r="E226">
        <v>0.45600000000000002</v>
      </c>
      <c r="F226" s="25">
        <v>1.9300000000000001E-2</v>
      </c>
      <c r="G226">
        <v>0.14899999999999999</v>
      </c>
      <c r="H226">
        <v>0.85</v>
      </c>
      <c r="I226">
        <v>3.58</v>
      </c>
      <c r="J226">
        <v>-0.38</v>
      </c>
      <c r="K226">
        <v>14.67</v>
      </c>
      <c r="L226">
        <v>3.21</v>
      </c>
      <c r="M226" s="25">
        <v>0.1275</v>
      </c>
      <c r="N226" s="25">
        <v>-2.3900000000000001E-2</v>
      </c>
      <c r="O226">
        <v>2.19</v>
      </c>
      <c r="P226" s="25">
        <v>5.1700000000000003E-2</v>
      </c>
      <c r="Q226" s="25">
        <v>-2.7900000000000001E-2</v>
      </c>
      <c r="R226" s="26">
        <v>2273380</v>
      </c>
      <c r="S226" s="26">
        <v>2003170000</v>
      </c>
      <c r="T226">
        <v>2.27</v>
      </c>
      <c r="U226" s="25">
        <v>0.19850000000000001</v>
      </c>
    </row>
    <row r="227" spans="1:21" x14ac:dyDescent="0.25">
      <c r="A227" t="s">
        <v>79</v>
      </c>
      <c r="B227">
        <v>39.03</v>
      </c>
      <c r="C227">
        <v>3.11</v>
      </c>
      <c r="D227">
        <v>0.78</v>
      </c>
      <c r="E227">
        <v>7.6999999999999999E-2</v>
      </c>
      <c r="F227" s="25">
        <v>0.39269999999999999</v>
      </c>
      <c r="G227">
        <v>0.14099999999999999</v>
      </c>
      <c r="H227">
        <v>0.88</v>
      </c>
      <c r="I227">
        <v>1.31</v>
      </c>
      <c r="J227">
        <v>-0.37</v>
      </c>
      <c r="K227">
        <v>4.58</v>
      </c>
      <c r="L227">
        <v>3.11</v>
      </c>
      <c r="M227" s="25">
        <v>5.8599999999999999E-2</v>
      </c>
      <c r="N227" s="25">
        <v>2.75E-2</v>
      </c>
      <c r="O227">
        <v>1.62</v>
      </c>
      <c r="P227" s="25">
        <v>0.14699999999999999</v>
      </c>
      <c r="Q227" s="25">
        <v>0.2515</v>
      </c>
      <c r="R227" s="26">
        <v>219747000</v>
      </c>
      <c r="S227" s="26">
        <v>43308500000</v>
      </c>
      <c r="T227">
        <v>2.64</v>
      </c>
      <c r="U227" s="25">
        <v>8.8700000000000001E-2</v>
      </c>
    </row>
    <row r="228" spans="1:21" x14ac:dyDescent="0.25">
      <c r="A228" t="s">
        <v>112</v>
      </c>
      <c r="B228">
        <v>1.52</v>
      </c>
      <c r="C228">
        <v>-0.08</v>
      </c>
      <c r="D228">
        <v>-0.48</v>
      </c>
      <c r="E228">
        <v>8.2000000000000003E-2</v>
      </c>
      <c r="F228" s="25">
        <v>0</v>
      </c>
      <c r="G228">
        <v>2.3E-2</v>
      </c>
      <c r="H228">
        <v>0.06</v>
      </c>
      <c r="I228">
        <v>-0.16</v>
      </c>
      <c r="J228">
        <v>-0.09</v>
      </c>
      <c r="K228">
        <v>-2.42</v>
      </c>
      <c r="L228">
        <v>-2.83</v>
      </c>
      <c r="M228" s="25">
        <v>-0.52080000000000004</v>
      </c>
      <c r="N228" s="25">
        <v>-1.0672999999999999</v>
      </c>
      <c r="O228">
        <v>1.76</v>
      </c>
      <c r="P228" s="25">
        <v>-0.15640000000000001</v>
      </c>
      <c r="Q228" s="25">
        <v>6.1649000000000003</v>
      </c>
      <c r="R228" s="26">
        <v>13272.6</v>
      </c>
      <c r="S228" s="26">
        <v>-39186000</v>
      </c>
      <c r="T228">
        <v>-6.97</v>
      </c>
      <c r="U228" s="25">
        <v>0.99990000000000001</v>
      </c>
    </row>
    <row r="229" spans="1:21" x14ac:dyDescent="0.25">
      <c r="A229" t="s">
        <v>214</v>
      </c>
      <c r="B229">
        <v>5.2</v>
      </c>
      <c r="C229">
        <v>3.32</v>
      </c>
      <c r="D229">
        <v>0.62</v>
      </c>
      <c r="E229">
        <v>2.0630000000000002</v>
      </c>
      <c r="F229" s="25">
        <v>7.7399999999999997E-2</v>
      </c>
      <c r="G229">
        <v>0.24299999999999999</v>
      </c>
      <c r="H229">
        <v>1.41</v>
      </c>
      <c r="I229">
        <v>5.82</v>
      </c>
      <c r="J229">
        <v>-0.99</v>
      </c>
      <c r="K229">
        <v>11.17</v>
      </c>
      <c r="L229">
        <v>9.9499999999999993</v>
      </c>
      <c r="M229" s="25">
        <v>0.35460000000000003</v>
      </c>
      <c r="N229" s="25">
        <v>0.61619999999999997</v>
      </c>
      <c r="O229">
        <v>2.1</v>
      </c>
      <c r="P229" s="25">
        <v>4.8099999999999997E-2</v>
      </c>
      <c r="Q229" s="25">
        <v>0.1855</v>
      </c>
      <c r="R229" s="26">
        <v>14425500</v>
      </c>
      <c r="S229" s="26">
        <v>5753280000</v>
      </c>
      <c r="T229">
        <v>0.9</v>
      </c>
      <c r="U229" s="25">
        <v>1.18E-2</v>
      </c>
    </row>
    <row r="230" spans="1:21" x14ac:dyDescent="0.25">
      <c r="A230" t="s">
        <v>409</v>
      </c>
      <c r="B230">
        <v>22</v>
      </c>
      <c r="C230">
        <v>11.62</v>
      </c>
      <c r="D230">
        <v>0.39</v>
      </c>
      <c r="E230">
        <v>0.106</v>
      </c>
      <c r="F230" s="25">
        <v>2.8799999999999999E-2</v>
      </c>
      <c r="G230">
        <v>0.10199999999999999</v>
      </c>
      <c r="H230">
        <v>0.32</v>
      </c>
      <c r="I230">
        <v>2.38</v>
      </c>
      <c r="J230">
        <v>1.75</v>
      </c>
      <c r="K230">
        <v>7.91</v>
      </c>
      <c r="L230">
        <v>6.95</v>
      </c>
      <c r="M230" s="25">
        <v>4.48E-2</v>
      </c>
      <c r="N230" s="25">
        <v>1.1599999999999999E-2</v>
      </c>
      <c r="O230">
        <v>1.82</v>
      </c>
      <c r="P230" s="25">
        <v>6.4000000000000001E-2</v>
      </c>
      <c r="Q230" s="25">
        <v>3.3300000000000003E-2</v>
      </c>
      <c r="R230" s="26">
        <v>2114.7600000000002</v>
      </c>
      <c r="S230" s="26">
        <v>602064000</v>
      </c>
      <c r="T230">
        <v>1.99</v>
      </c>
      <c r="U230" s="25">
        <v>6.0199999999999997E-2</v>
      </c>
    </row>
    <row r="231" spans="1:21" x14ac:dyDescent="0.25">
      <c r="A231" t="s">
        <v>410</v>
      </c>
      <c r="B231">
        <v>29.02</v>
      </c>
      <c r="C231">
        <v>20.27</v>
      </c>
      <c r="D231">
        <v>1.93</v>
      </c>
      <c r="E231">
        <v>4.6669999999999998</v>
      </c>
      <c r="F231" s="25">
        <v>2.8999999999999998E-3</v>
      </c>
      <c r="G231">
        <v>0.46800000000000003</v>
      </c>
      <c r="H231">
        <v>2.34</v>
      </c>
      <c r="I231">
        <v>12.96</v>
      </c>
      <c r="J231">
        <v>-1.68</v>
      </c>
      <c r="K231">
        <v>20.350000000000001</v>
      </c>
      <c r="L231">
        <v>12.83</v>
      </c>
      <c r="M231" s="25">
        <v>0.36020000000000002</v>
      </c>
      <c r="N231" s="25">
        <v>0.46310000000000001</v>
      </c>
      <c r="O231">
        <v>5.31</v>
      </c>
      <c r="P231" s="25">
        <v>4.5600000000000002E-2</v>
      </c>
      <c r="Q231" s="25">
        <v>9.5100000000000004E-2</v>
      </c>
      <c r="R231" s="26">
        <v>7666510</v>
      </c>
      <c r="S231" s="26">
        <v>1762140000</v>
      </c>
      <c r="T231">
        <v>1.94</v>
      </c>
      <c r="U231" s="25">
        <v>1.01E-2</v>
      </c>
    </row>
    <row r="232" spans="1:21" x14ac:dyDescent="0.25">
      <c r="A232" t="s">
        <v>207</v>
      </c>
      <c r="B232">
        <v>5.38</v>
      </c>
      <c r="C232">
        <v>7.49</v>
      </c>
      <c r="D232">
        <v>0.86</v>
      </c>
      <c r="E232">
        <v>0.16600000000000001</v>
      </c>
      <c r="F232" s="25">
        <v>7.8200000000000006E-2</v>
      </c>
      <c r="G232">
        <v>0.122</v>
      </c>
      <c r="H232">
        <v>0.86</v>
      </c>
      <c r="I232">
        <v>1.48</v>
      </c>
      <c r="J232">
        <v>-0.25</v>
      </c>
      <c r="K232">
        <v>7.63</v>
      </c>
      <c r="L232">
        <v>4.71</v>
      </c>
      <c r="M232" s="25">
        <v>0.11219999999999999</v>
      </c>
      <c r="N232" s="25">
        <v>2.2100000000000002E-2</v>
      </c>
      <c r="O232">
        <v>1.62</v>
      </c>
      <c r="P232" s="25">
        <v>0.1004</v>
      </c>
      <c r="Q232" s="25">
        <v>0.1148</v>
      </c>
      <c r="R232" s="26">
        <v>3179510</v>
      </c>
      <c r="S232" s="26">
        <v>1791170000</v>
      </c>
      <c r="T232">
        <v>4.6399999999999997</v>
      </c>
      <c r="U232" s="25">
        <v>0.55510000000000004</v>
      </c>
    </row>
    <row r="233" spans="1:21" x14ac:dyDescent="0.25">
      <c r="A233" t="s">
        <v>109</v>
      </c>
      <c r="B233">
        <v>7.27</v>
      </c>
      <c r="C233">
        <v>7.57</v>
      </c>
      <c r="D233">
        <v>1.83</v>
      </c>
      <c r="E233">
        <v>0.82499999999999996</v>
      </c>
      <c r="F233" s="25">
        <v>9.01E-2</v>
      </c>
      <c r="G233">
        <v>0.86199999999999999</v>
      </c>
      <c r="H233">
        <v>2.6</v>
      </c>
      <c r="I233">
        <v>5.39</v>
      </c>
      <c r="J233">
        <v>6.53</v>
      </c>
      <c r="K233">
        <v>5.26</v>
      </c>
      <c r="L233">
        <v>4.5199999999999996</v>
      </c>
      <c r="M233" s="25">
        <v>0.15290000000000001</v>
      </c>
      <c r="N233" s="25">
        <v>0.1089</v>
      </c>
      <c r="O233">
        <v>2.0099999999999998</v>
      </c>
      <c r="P233" s="25">
        <v>0.23169999999999999</v>
      </c>
      <c r="Q233" s="25">
        <v>0.2417</v>
      </c>
      <c r="R233" s="26">
        <v>9547520</v>
      </c>
      <c r="S233" s="26">
        <v>714159000</v>
      </c>
      <c r="T233">
        <v>0.45</v>
      </c>
      <c r="U233" s="25">
        <v>0.16320000000000001</v>
      </c>
    </row>
    <row r="234" spans="1:21" x14ac:dyDescent="0.25">
      <c r="A234" t="s">
        <v>411</v>
      </c>
      <c r="B234">
        <v>18.690000000000001</v>
      </c>
      <c r="C234">
        <v>12.79</v>
      </c>
      <c r="D234">
        <v>2.68</v>
      </c>
      <c r="E234">
        <v>1.151</v>
      </c>
      <c r="F234" s="25">
        <v>6.2700000000000006E-2</v>
      </c>
      <c r="G234">
        <v>0.40200000000000002</v>
      </c>
      <c r="H234">
        <v>3.63</v>
      </c>
      <c r="I234">
        <v>5.04</v>
      </c>
      <c r="J234">
        <v>-0.7</v>
      </c>
      <c r="K234">
        <v>11.53</v>
      </c>
      <c r="L234">
        <v>5.88</v>
      </c>
      <c r="M234" s="25">
        <v>0.22819999999999999</v>
      </c>
      <c r="N234" s="25">
        <v>0.1013</v>
      </c>
      <c r="O234">
        <v>1.96</v>
      </c>
      <c r="P234" s="25">
        <v>9.5799999999999996E-2</v>
      </c>
      <c r="Q234" s="25">
        <v>0.2094</v>
      </c>
      <c r="R234" s="26">
        <v>91900600</v>
      </c>
      <c r="S234" s="26">
        <v>8626520000</v>
      </c>
      <c r="T234">
        <v>4.1900000000000004</v>
      </c>
      <c r="U234" s="25">
        <v>9.4899999999999998E-2</v>
      </c>
    </row>
    <row r="235" spans="1:21" x14ac:dyDescent="0.25">
      <c r="A235" t="s">
        <v>138</v>
      </c>
      <c r="B235">
        <v>3.82</v>
      </c>
      <c r="C235">
        <v>13.07</v>
      </c>
      <c r="D235">
        <v>2.74</v>
      </c>
      <c r="E235">
        <v>1.1759999999999999</v>
      </c>
      <c r="F235" s="25">
        <v>6.1400000000000003E-2</v>
      </c>
      <c r="G235">
        <v>0.41099999999999998</v>
      </c>
      <c r="H235">
        <v>3.71</v>
      </c>
      <c r="I235">
        <v>5.15</v>
      </c>
      <c r="J235">
        <v>-0.71</v>
      </c>
      <c r="K235">
        <v>11.64</v>
      </c>
      <c r="L235">
        <v>5.93</v>
      </c>
      <c r="M235" s="25">
        <v>0.22819999999999999</v>
      </c>
      <c r="N235" s="25">
        <v>0.1013</v>
      </c>
      <c r="O235">
        <v>1.96</v>
      </c>
      <c r="P235" s="25">
        <v>9.5799999999999996E-2</v>
      </c>
      <c r="Q235" s="25">
        <v>0.2094</v>
      </c>
      <c r="R235" s="26">
        <v>1475960</v>
      </c>
      <c r="S235" s="26">
        <v>8626520000</v>
      </c>
      <c r="T235">
        <v>4.1900000000000004</v>
      </c>
      <c r="U235" s="25">
        <v>9.4899999999999998E-2</v>
      </c>
    </row>
    <row r="236" spans="1:21" x14ac:dyDescent="0.25">
      <c r="A236" t="s">
        <v>147</v>
      </c>
      <c r="B236">
        <v>3.7</v>
      </c>
      <c r="C236">
        <v>12.66</v>
      </c>
      <c r="D236">
        <v>2.65</v>
      </c>
      <c r="E236">
        <v>1.139</v>
      </c>
      <c r="F236" s="25">
        <v>6.3399999999999998E-2</v>
      </c>
      <c r="G236">
        <v>0.39800000000000002</v>
      </c>
      <c r="H236">
        <v>3.59</v>
      </c>
      <c r="I236">
        <v>4.99</v>
      </c>
      <c r="J236">
        <v>-0.69</v>
      </c>
      <c r="K236">
        <v>11.47</v>
      </c>
      <c r="L236">
        <v>5.85</v>
      </c>
      <c r="M236" s="25">
        <v>0.22819999999999999</v>
      </c>
      <c r="N236" s="25">
        <v>0.1013</v>
      </c>
      <c r="O236">
        <v>1.96</v>
      </c>
      <c r="P236" s="25">
        <v>9.5799999999999996E-2</v>
      </c>
      <c r="Q236" s="25">
        <v>0.2094</v>
      </c>
      <c r="R236" s="26">
        <v>6801430</v>
      </c>
      <c r="S236" s="26">
        <v>8626520000</v>
      </c>
      <c r="T236">
        <v>4.1900000000000004</v>
      </c>
      <c r="U236" s="25">
        <v>9.4899999999999998E-2</v>
      </c>
    </row>
    <row r="237" spans="1:21" x14ac:dyDescent="0.25">
      <c r="A237" t="s">
        <v>47</v>
      </c>
      <c r="B237">
        <v>10.38</v>
      </c>
      <c r="C237">
        <v>94.09</v>
      </c>
      <c r="D237">
        <v>1.37</v>
      </c>
      <c r="E237">
        <v>13.502000000000001</v>
      </c>
      <c r="F237" s="25">
        <v>7.0000000000000001E-3</v>
      </c>
      <c r="G237">
        <v>1.0449999999999999</v>
      </c>
      <c r="H237">
        <v>-67.3</v>
      </c>
      <c r="I237">
        <v>26.47</v>
      </c>
      <c r="J237">
        <v>-6.04</v>
      </c>
      <c r="K237">
        <v>29.06</v>
      </c>
      <c r="L237">
        <v>26.74</v>
      </c>
      <c r="M237" s="25">
        <v>0.51</v>
      </c>
      <c r="N237" s="25">
        <v>0.14349999999999999</v>
      </c>
      <c r="O237">
        <v>0.8</v>
      </c>
      <c r="P237" s="25">
        <v>3.9699999999999999E-2</v>
      </c>
      <c r="Q237" s="25">
        <v>1.46E-2</v>
      </c>
      <c r="R237" s="26">
        <v>401438</v>
      </c>
      <c r="S237" s="26">
        <v>729614000</v>
      </c>
      <c r="T237">
        <v>0.14000000000000001</v>
      </c>
      <c r="U237" s="25">
        <v>-7.0300000000000001E-2</v>
      </c>
    </row>
    <row r="238" spans="1:21" x14ac:dyDescent="0.25">
      <c r="A238" t="s">
        <v>89</v>
      </c>
      <c r="B238">
        <v>11.92</v>
      </c>
      <c r="C238">
        <v>6.48</v>
      </c>
      <c r="D238">
        <v>1.56</v>
      </c>
      <c r="E238">
        <v>1.4570000000000001</v>
      </c>
      <c r="F238" s="25">
        <v>8.6099999999999996E-2</v>
      </c>
      <c r="G238">
        <v>0.66</v>
      </c>
      <c r="H238">
        <v>1.0900000000000001</v>
      </c>
      <c r="I238">
        <v>6.72</v>
      </c>
      <c r="J238">
        <v>2.48</v>
      </c>
      <c r="K238">
        <v>6.74</v>
      </c>
      <c r="L238">
        <v>6.72</v>
      </c>
      <c r="M238" s="25">
        <v>0.21690000000000001</v>
      </c>
      <c r="N238" s="25">
        <v>0.2606</v>
      </c>
      <c r="O238">
        <v>4.8499999999999996</v>
      </c>
      <c r="P238" s="25">
        <v>0.12559999999999999</v>
      </c>
      <c r="Q238" s="25">
        <v>0.2407</v>
      </c>
      <c r="R238" s="26">
        <v>5872680</v>
      </c>
      <c r="S238" s="26">
        <v>1493340000</v>
      </c>
      <c r="T238">
        <v>0.48</v>
      </c>
      <c r="U238" s="25">
        <v>0.3831</v>
      </c>
    </row>
    <row r="239" spans="1:21" x14ac:dyDescent="0.25">
      <c r="A239" t="s">
        <v>18</v>
      </c>
      <c r="B239">
        <v>28.61</v>
      </c>
      <c r="C239">
        <v>7.76</v>
      </c>
      <c r="D239">
        <v>4.37</v>
      </c>
      <c r="E239">
        <v>0.80700000000000005</v>
      </c>
      <c r="F239" s="25">
        <v>9.2200000000000004E-2</v>
      </c>
      <c r="G239">
        <v>1.0449999999999999</v>
      </c>
      <c r="H239">
        <v>6.76</v>
      </c>
      <c r="I239">
        <v>4.72</v>
      </c>
      <c r="J239">
        <v>-7.13</v>
      </c>
      <c r="K239">
        <v>5.58</v>
      </c>
      <c r="L239">
        <v>4.9000000000000004</v>
      </c>
      <c r="M239" s="25">
        <v>0.17100000000000001</v>
      </c>
      <c r="N239" s="25">
        <v>0.104</v>
      </c>
      <c r="O239">
        <v>1.34</v>
      </c>
      <c r="P239" s="25">
        <v>0.34749999999999998</v>
      </c>
      <c r="Q239" s="25">
        <v>0.56359999999999999</v>
      </c>
      <c r="R239" s="26">
        <v>7525650</v>
      </c>
      <c r="S239" s="26">
        <v>886641000</v>
      </c>
      <c r="T239">
        <v>1.1599999999999999</v>
      </c>
      <c r="U239" s="25">
        <v>0.14410000000000001</v>
      </c>
    </row>
    <row r="240" spans="1:21" x14ac:dyDescent="0.25">
      <c r="A240" t="s">
        <v>156</v>
      </c>
      <c r="B240">
        <v>6.2</v>
      </c>
      <c r="C240">
        <v>0.95</v>
      </c>
      <c r="D240">
        <v>0.41</v>
      </c>
      <c r="E240">
        <v>0.151</v>
      </c>
      <c r="F240" s="25">
        <v>0</v>
      </c>
      <c r="G240">
        <v>8.5999999999999993E-2</v>
      </c>
      <c r="H240">
        <v>0.89</v>
      </c>
      <c r="I240">
        <v>1.2</v>
      </c>
      <c r="J240">
        <v>-0.18</v>
      </c>
      <c r="K240">
        <v>4.5</v>
      </c>
      <c r="L240">
        <v>3.07</v>
      </c>
      <c r="M240" s="25">
        <v>0.1263</v>
      </c>
      <c r="N240" s="25">
        <v>0.15820000000000001</v>
      </c>
      <c r="O240">
        <v>1.44</v>
      </c>
      <c r="P240" s="25">
        <v>9.2100000000000001E-2</v>
      </c>
      <c r="Q240" s="25">
        <v>0.42920000000000003</v>
      </c>
      <c r="R240" s="26">
        <v>8695410</v>
      </c>
      <c r="S240" s="26">
        <v>5639690000</v>
      </c>
      <c r="T240">
        <v>1.77</v>
      </c>
      <c r="U240" s="25">
        <v>1.54E-2</v>
      </c>
    </row>
    <row r="241" spans="1:21" x14ac:dyDescent="0.25">
      <c r="A241" t="s">
        <v>412</v>
      </c>
      <c r="B241">
        <v>36.01</v>
      </c>
      <c r="C241">
        <v>16.64</v>
      </c>
      <c r="D241">
        <v>1.82</v>
      </c>
      <c r="E241">
        <v>0</v>
      </c>
      <c r="F241" s="25">
        <v>3.95E-2</v>
      </c>
      <c r="G241">
        <v>1.706</v>
      </c>
      <c r="H241">
        <v>6.65</v>
      </c>
      <c r="I241">
        <v>-54.89</v>
      </c>
      <c r="J241">
        <v>7.07</v>
      </c>
      <c r="K241">
        <v>-45.91</v>
      </c>
      <c r="L241">
        <v>-45.91</v>
      </c>
      <c r="M241" s="25">
        <v>0</v>
      </c>
      <c r="N241" s="25">
        <v>0</v>
      </c>
      <c r="O241">
        <v>6.18</v>
      </c>
      <c r="P241" s="25">
        <v>-4.3099999999999999E-2</v>
      </c>
      <c r="Q241" s="25">
        <v>0.1096</v>
      </c>
      <c r="R241" s="26">
        <v>171.48</v>
      </c>
      <c r="S241" s="26">
        <v>232276000</v>
      </c>
      <c r="T241">
        <v>0</v>
      </c>
      <c r="U241" s="25">
        <v>0</v>
      </c>
    </row>
    <row r="242" spans="1:21" x14ac:dyDescent="0.25">
      <c r="A242" t="s">
        <v>253</v>
      </c>
      <c r="B242">
        <v>2.5299999999999998</v>
      </c>
      <c r="C242">
        <v>-5.81</v>
      </c>
      <c r="D242">
        <v>0.92</v>
      </c>
      <c r="E242">
        <v>0.17899999999999999</v>
      </c>
      <c r="F242" s="25">
        <v>4.82E-2</v>
      </c>
      <c r="G242">
        <v>0.14399999999999999</v>
      </c>
      <c r="H242">
        <v>0.59</v>
      </c>
      <c r="I242">
        <v>6.75</v>
      </c>
      <c r="J242">
        <v>-0.96</v>
      </c>
      <c r="K242">
        <v>9.07</v>
      </c>
      <c r="L242">
        <v>3.19</v>
      </c>
      <c r="M242" s="25">
        <v>2.6599999999999999E-2</v>
      </c>
      <c r="N242" s="25">
        <v>-3.09E-2</v>
      </c>
      <c r="O242">
        <v>1.54</v>
      </c>
      <c r="P242" s="25">
        <v>2.64E-2</v>
      </c>
      <c r="Q242" s="25">
        <v>-0.15840000000000001</v>
      </c>
      <c r="R242" s="26">
        <v>5515910</v>
      </c>
      <c r="S242" s="26">
        <v>536003000</v>
      </c>
      <c r="T242">
        <v>0.93</v>
      </c>
      <c r="U242" s="25">
        <v>0.1094</v>
      </c>
    </row>
    <row r="243" spans="1:21" x14ac:dyDescent="0.25">
      <c r="A243" t="s">
        <v>143</v>
      </c>
      <c r="B243">
        <v>19.78</v>
      </c>
      <c r="C243">
        <v>4.6399999999999997</v>
      </c>
      <c r="D243">
        <v>0.47</v>
      </c>
      <c r="E243">
        <v>7.8550000000000004</v>
      </c>
      <c r="F243" s="25">
        <v>9.8799999999999999E-2</v>
      </c>
      <c r="G243">
        <v>0.25800000000000001</v>
      </c>
      <c r="H243">
        <v>12.45</v>
      </c>
      <c r="I243">
        <v>10.9</v>
      </c>
      <c r="J243">
        <v>-0.81</v>
      </c>
      <c r="K243">
        <v>22.93</v>
      </c>
      <c r="L243">
        <v>22.06</v>
      </c>
      <c r="M243" s="25">
        <v>0.72060000000000002</v>
      </c>
      <c r="N243" s="25">
        <v>1.6971000000000001</v>
      </c>
      <c r="O243">
        <v>1.18</v>
      </c>
      <c r="P243" s="25">
        <v>2.4199999999999999E-2</v>
      </c>
      <c r="Q243" s="25">
        <v>0.10199999999999999</v>
      </c>
      <c r="R243" s="26">
        <v>4463590</v>
      </c>
      <c r="S243" s="26">
        <v>3672920000</v>
      </c>
      <c r="T243">
        <v>0.55000000000000004</v>
      </c>
      <c r="U243" s="25">
        <v>0.12239999999999999</v>
      </c>
    </row>
    <row r="244" spans="1:21" x14ac:dyDescent="0.25">
      <c r="A244" t="s">
        <v>212</v>
      </c>
      <c r="B244">
        <v>25.03</v>
      </c>
      <c r="C244">
        <v>37.39</v>
      </c>
      <c r="D244">
        <v>2.65</v>
      </c>
      <c r="E244">
        <v>0.93899999999999995</v>
      </c>
      <c r="F244" s="25">
        <v>0</v>
      </c>
      <c r="G244">
        <v>0.68100000000000005</v>
      </c>
      <c r="H244">
        <v>25.44</v>
      </c>
      <c r="I244">
        <v>10.07</v>
      </c>
      <c r="J244">
        <v>-1.42</v>
      </c>
      <c r="K244">
        <v>15.11</v>
      </c>
      <c r="L244">
        <v>7.28</v>
      </c>
      <c r="M244" s="25">
        <v>9.3200000000000005E-2</v>
      </c>
      <c r="N244" s="25">
        <v>2.5100000000000001E-2</v>
      </c>
      <c r="O244">
        <v>1.1100000000000001</v>
      </c>
      <c r="P244" s="25">
        <v>7.6499999999999999E-2</v>
      </c>
      <c r="Q244" s="25">
        <v>7.0999999999999994E-2</v>
      </c>
      <c r="R244" s="26">
        <v>388619</v>
      </c>
      <c r="S244" s="26">
        <v>1011710000</v>
      </c>
      <c r="T244">
        <v>1.66</v>
      </c>
      <c r="U244" s="25">
        <v>0.2581</v>
      </c>
    </row>
    <row r="245" spans="1:21" x14ac:dyDescent="0.25">
      <c r="A245" t="s">
        <v>163</v>
      </c>
      <c r="B245">
        <v>1.46</v>
      </c>
      <c r="C245">
        <v>10.41</v>
      </c>
      <c r="D245">
        <v>0.93</v>
      </c>
      <c r="E245">
        <v>1.0629999999999999</v>
      </c>
      <c r="F245" s="25">
        <v>4.99E-2</v>
      </c>
      <c r="G245">
        <v>0.52200000000000002</v>
      </c>
      <c r="H245">
        <v>4.7699999999999996</v>
      </c>
      <c r="I245">
        <v>5.59</v>
      </c>
      <c r="J245">
        <v>-3.68</v>
      </c>
      <c r="K245">
        <v>3.6</v>
      </c>
      <c r="L245">
        <v>2.38</v>
      </c>
      <c r="M245" s="25">
        <v>0.19009999999999999</v>
      </c>
      <c r="N245" s="25">
        <v>0.16400000000000001</v>
      </c>
      <c r="O245">
        <v>1.56</v>
      </c>
      <c r="P245" s="25">
        <v>0.1168</v>
      </c>
      <c r="Q245" s="25">
        <v>8.8999999999999996E-2</v>
      </c>
      <c r="R245" s="26">
        <v>150529</v>
      </c>
      <c r="S245" s="26">
        <v>232403000</v>
      </c>
      <c r="T245">
        <v>0</v>
      </c>
      <c r="U245" s="25">
        <v>-3.5000000000000001E-3</v>
      </c>
    </row>
    <row r="246" spans="1:21" x14ac:dyDescent="0.25">
      <c r="A246" t="s">
        <v>205</v>
      </c>
      <c r="B246">
        <v>17.63</v>
      </c>
      <c r="C246">
        <v>14.61</v>
      </c>
      <c r="D246">
        <v>1.82</v>
      </c>
      <c r="E246">
        <v>1.264</v>
      </c>
      <c r="F246" s="25">
        <v>4.0500000000000001E-2</v>
      </c>
      <c r="G246">
        <v>1.012</v>
      </c>
      <c r="H246">
        <v>4.41</v>
      </c>
      <c r="I246">
        <v>5.9</v>
      </c>
      <c r="J246">
        <v>7.9</v>
      </c>
      <c r="K246">
        <v>5.52</v>
      </c>
      <c r="L246">
        <v>3.95</v>
      </c>
      <c r="M246" s="25">
        <v>0.21429999999999999</v>
      </c>
      <c r="N246" s="25">
        <v>8.6499999999999994E-2</v>
      </c>
      <c r="O246">
        <v>1.67</v>
      </c>
      <c r="P246" s="25">
        <v>0.2056</v>
      </c>
      <c r="Q246" s="25">
        <v>0.1245</v>
      </c>
      <c r="R246" s="26">
        <v>230570000</v>
      </c>
      <c r="S246" s="26">
        <v>10265800000</v>
      </c>
      <c r="T246">
        <v>0.04</v>
      </c>
      <c r="U246" s="25">
        <v>0.1731</v>
      </c>
    </row>
    <row r="247" spans="1:21" x14ac:dyDescent="0.25">
      <c r="A247" t="s">
        <v>191</v>
      </c>
      <c r="B247">
        <v>1.17</v>
      </c>
      <c r="C247">
        <v>-1.43</v>
      </c>
      <c r="D247">
        <v>0.42</v>
      </c>
      <c r="E247">
        <v>0.48</v>
      </c>
      <c r="F247" s="25">
        <v>0</v>
      </c>
      <c r="G247">
        <v>0.10100000000000001</v>
      </c>
      <c r="H247">
        <v>3.17</v>
      </c>
      <c r="I247">
        <v>-2.95</v>
      </c>
      <c r="J247">
        <v>-0.21</v>
      </c>
      <c r="K247">
        <v>-13.25</v>
      </c>
      <c r="L247">
        <v>-13.25</v>
      </c>
      <c r="M247" s="25">
        <v>-0.16259999999999999</v>
      </c>
      <c r="N247" s="25">
        <v>-0.33560000000000001</v>
      </c>
      <c r="O247">
        <v>1.1299999999999999</v>
      </c>
      <c r="P247" s="25">
        <v>-3.5999999999999997E-2</v>
      </c>
      <c r="Q247" s="25">
        <v>-0.2949</v>
      </c>
      <c r="R247" s="26">
        <v>57600.3</v>
      </c>
      <c r="S247" s="26">
        <v>121242000</v>
      </c>
      <c r="T247">
        <v>1.49</v>
      </c>
      <c r="U247" s="25">
        <v>0.11890000000000001</v>
      </c>
    </row>
    <row r="248" spans="1:21" x14ac:dyDescent="0.25">
      <c r="A248" t="s">
        <v>413</v>
      </c>
      <c r="B248">
        <v>4.0999999999999996</v>
      </c>
      <c r="C248">
        <v>4.67</v>
      </c>
      <c r="D248">
        <v>1.08</v>
      </c>
      <c r="E248">
        <v>1.26</v>
      </c>
      <c r="F248" s="25">
        <v>2.8299999999999999E-2</v>
      </c>
      <c r="G248">
        <v>0.76900000000000002</v>
      </c>
      <c r="H248">
        <v>17.96</v>
      </c>
      <c r="I248">
        <v>9.0500000000000007</v>
      </c>
      <c r="J248">
        <v>-5.3</v>
      </c>
      <c r="K248">
        <v>9.08</v>
      </c>
      <c r="L248">
        <v>4.83</v>
      </c>
      <c r="M248" s="25">
        <v>0.13930000000000001</v>
      </c>
      <c r="N248" s="25">
        <v>0.26989999999999997</v>
      </c>
      <c r="O248">
        <v>1.41</v>
      </c>
      <c r="P248" s="25">
        <v>9.5500000000000002E-2</v>
      </c>
      <c r="Q248" s="25">
        <v>0.2324</v>
      </c>
      <c r="R248" s="26">
        <v>8469.43</v>
      </c>
      <c r="S248" s="26">
        <v>157085000</v>
      </c>
      <c r="T248">
        <v>0.12</v>
      </c>
      <c r="U248" s="25">
        <v>5.0099999999999999E-2</v>
      </c>
    </row>
    <row r="249" spans="1:21" x14ac:dyDescent="0.25">
      <c r="A249" t="s">
        <v>178</v>
      </c>
      <c r="B249">
        <v>3.65</v>
      </c>
      <c r="C249">
        <v>7.22</v>
      </c>
      <c r="D249">
        <v>0.35</v>
      </c>
      <c r="E249">
        <v>0.27500000000000002</v>
      </c>
      <c r="F249" s="25">
        <v>5.21E-2</v>
      </c>
      <c r="G249">
        <v>0.154</v>
      </c>
      <c r="H249">
        <v>0.73</v>
      </c>
      <c r="I249">
        <v>1.19</v>
      </c>
      <c r="J249">
        <v>-2.09</v>
      </c>
      <c r="K249">
        <v>0.45</v>
      </c>
      <c r="L249">
        <v>0.22</v>
      </c>
      <c r="M249" s="25">
        <v>0.23200000000000001</v>
      </c>
      <c r="N249" s="25">
        <v>3.8100000000000002E-2</v>
      </c>
      <c r="O249">
        <v>1.76</v>
      </c>
      <c r="P249" s="25">
        <v>0.15579999999999999</v>
      </c>
      <c r="Q249" s="25">
        <v>4.8399999999999999E-2</v>
      </c>
      <c r="R249" s="26">
        <v>318194</v>
      </c>
      <c r="S249" s="26">
        <v>662855000</v>
      </c>
      <c r="T249">
        <v>0</v>
      </c>
      <c r="U249" s="25">
        <v>-9.2299999999999993E-2</v>
      </c>
    </row>
    <row r="250" spans="1:21" x14ac:dyDescent="0.25">
      <c r="A250" t="s">
        <v>162</v>
      </c>
      <c r="B250">
        <v>3.9</v>
      </c>
      <c r="C250">
        <v>67.849999999999994</v>
      </c>
      <c r="D250">
        <v>0.81</v>
      </c>
      <c r="E250">
        <v>1.579</v>
      </c>
      <c r="F250" s="25">
        <v>1.83E-2</v>
      </c>
      <c r="G250">
        <v>0.55200000000000005</v>
      </c>
      <c r="H250">
        <v>11.37</v>
      </c>
      <c r="I250">
        <v>17.96</v>
      </c>
      <c r="J250">
        <v>31.39</v>
      </c>
      <c r="K250">
        <v>14.74</v>
      </c>
      <c r="L250">
        <v>7.07</v>
      </c>
      <c r="M250" s="25">
        <v>8.7900000000000006E-2</v>
      </c>
      <c r="N250" s="25">
        <v>2.3300000000000001E-2</v>
      </c>
      <c r="O250">
        <v>1.17</v>
      </c>
      <c r="P250" s="25">
        <v>3.5299999999999998E-2</v>
      </c>
      <c r="Q250" s="25">
        <v>1.1900000000000001E-2</v>
      </c>
      <c r="R250" s="26">
        <v>25443600</v>
      </c>
      <c r="S250" s="26">
        <v>2736470000</v>
      </c>
      <c r="T250">
        <v>0.03</v>
      </c>
      <c r="U250" s="25">
        <v>0.2555</v>
      </c>
    </row>
    <row r="251" spans="1:21" x14ac:dyDescent="0.25">
      <c r="A251" t="s">
        <v>414</v>
      </c>
      <c r="B251">
        <v>3.05</v>
      </c>
      <c r="C251">
        <v>-17.41</v>
      </c>
      <c r="D251">
        <v>-0.43</v>
      </c>
      <c r="E251">
        <v>0</v>
      </c>
      <c r="F251" s="25">
        <v>0</v>
      </c>
      <c r="G251">
        <v>3.621</v>
      </c>
      <c r="H251">
        <v>-49.17</v>
      </c>
      <c r="I251">
        <v>-22.79</v>
      </c>
      <c r="J251">
        <v>-0.39</v>
      </c>
      <c r="K251">
        <v>-22.78</v>
      </c>
      <c r="L251">
        <v>-22.78</v>
      </c>
      <c r="M251" s="25">
        <v>0</v>
      </c>
      <c r="N251" s="25">
        <v>0</v>
      </c>
      <c r="O251">
        <v>0.02</v>
      </c>
      <c r="P251" s="25">
        <v>-0.1595</v>
      </c>
      <c r="Q251" s="25">
        <v>2.4899999999999999E-2</v>
      </c>
      <c r="R251" s="26">
        <v>7.26</v>
      </c>
      <c r="S251" s="26">
        <v>-6474000</v>
      </c>
      <c r="T251">
        <v>0</v>
      </c>
      <c r="U251" s="25">
        <v>0</v>
      </c>
    </row>
    <row r="252" spans="1:21" x14ac:dyDescent="0.25">
      <c r="A252" t="s">
        <v>415</v>
      </c>
      <c r="B252">
        <v>3.8</v>
      </c>
      <c r="C252">
        <v>-21.69</v>
      </c>
      <c r="D252">
        <v>-0.54</v>
      </c>
      <c r="E252">
        <v>0</v>
      </c>
      <c r="F252" s="25">
        <v>0</v>
      </c>
      <c r="G252">
        <v>4.5119999999999996</v>
      </c>
      <c r="H252">
        <v>-61.27</v>
      </c>
      <c r="I252">
        <v>-28.39</v>
      </c>
      <c r="J252">
        <v>-0.48</v>
      </c>
      <c r="K252">
        <v>-28.38</v>
      </c>
      <c r="L252">
        <v>-28.38</v>
      </c>
      <c r="M252" s="25">
        <v>0</v>
      </c>
      <c r="N252" s="25">
        <v>0</v>
      </c>
      <c r="O252">
        <v>0.02</v>
      </c>
      <c r="P252" s="25">
        <v>-0.1595</v>
      </c>
      <c r="Q252" s="25">
        <v>2.4899999999999999E-2</v>
      </c>
      <c r="R252" s="26">
        <v>5760.69</v>
      </c>
      <c r="S252" s="26">
        <v>-6474000</v>
      </c>
      <c r="T252">
        <v>0</v>
      </c>
      <c r="U252" s="25">
        <v>0</v>
      </c>
    </row>
    <row r="253" spans="1:21" x14ac:dyDescent="0.25">
      <c r="A253" t="s">
        <v>188</v>
      </c>
      <c r="B253">
        <v>4.3499999999999996</v>
      </c>
      <c r="C253">
        <v>-4.09</v>
      </c>
      <c r="D253">
        <v>1.02</v>
      </c>
      <c r="E253">
        <v>0.68899999999999995</v>
      </c>
      <c r="F253" s="25">
        <v>1.72E-2</v>
      </c>
      <c r="G253">
        <v>0.33700000000000002</v>
      </c>
      <c r="H253">
        <v>1.47</v>
      </c>
      <c r="I253">
        <v>4.5</v>
      </c>
      <c r="J253">
        <v>-1.08</v>
      </c>
      <c r="K253">
        <v>6.82</v>
      </c>
      <c r="L253">
        <v>5.12</v>
      </c>
      <c r="M253" s="25">
        <v>0.153</v>
      </c>
      <c r="N253" s="25">
        <v>-0.16320000000000001</v>
      </c>
      <c r="O253">
        <v>2.95</v>
      </c>
      <c r="P253" s="25">
        <v>9.1899999999999996E-2</v>
      </c>
      <c r="Q253" s="25">
        <v>-0.248</v>
      </c>
      <c r="R253" s="26">
        <v>1372410</v>
      </c>
      <c r="S253" s="26">
        <v>1454640000</v>
      </c>
      <c r="T253">
        <v>0.98</v>
      </c>
      <c r="U253" s="25">
        <v>0.33379999999999999</v>
      </c>
    </row>
    <row r="254" spans="1:21" x14ac:dyDescent="0.25">
      <c r="A254" t="s">
        <v>85</v>
      </c>
      <c r="B254">
        <v>25.19</v>
      </c>
      <c r="C254">
        <v>15.24</v>
      </c>
      <c r="D254">
        <v>1.07</v>
      </c>
      <c r="E254">
        <v>0.878</v>
      </c>
      <c r="F254" s="25">
        <v>2.3E-2</v>
      </c>
      <c r="G254">
        <v>0.66700000000000004</v>
      </c>
      <c r="H254" s="26">
        <v>2.69</v>
      </c>
      <c r="I254">
        <v>9.9700000000000006</v>
      </c>
      <c r="J254">
        <v>8.01</v>
      </c>
      <c r="K254">
        <v>10</v>
      </c>
      <c r="L254">
        <v>6.93</v>
      </c>
      <c r="M254" s="25">
        <v>8.7999999999999995E-2</v>
      </c>
      <c r="N254" s="25">
        <v>5.7599999999999998E-2</v>
      </c>
      <c r="O254">
        <v>2.15</v>
      </c>
      <c r="P254" s="25">
        <v>9.0499999999999997E-2</v>
      </c>
      <c r="Q254" s="25">
        <v>7.0400000000000004E-2</v>
      </c>
      <c r="R254" s="26">
        <v>13998900</v>
      </c>
      <c r="S254" s="26">
        <v>7956180000</v>
      </c>
      <c r="T254">
        <v>0.28999999999999998</v>
      </c>
      <c r="U254" s="25">
        <v>9.1300000000000006E-2</v>
      </c>
    </row>
    <row r="255" spans="1:21" x14ac:dyDescent="0.25">
      <c r="A255" t="s">
        <v>171</v>
      </c>
      <c r="B255">
        <v>21.35</v>
      </c>
      <c r="C255">
        <v>6.49</v>
      </c>
      <c r="D255">
        <v>1.1200000000000001</v>
      </c>
      <c r="E255">
        <v>1.0660000000000001</v>
      </c>
      <c r="F255" s="25">
        <v>5.8099999999999999E-2</v>
      </c>
      <c r="G255">
        <v>0.43099999999999999</v>
      </c>
      <c r="H255" s="26">
        <v>1.43</v>
      </c>
      <c r="I255">
        <v>5.73</v>
      </c>
      <c r="J255">
        <v>-3.25</v>
      </c>
      <c r="K255">
        <v>6.13</v>
      </c>
      <c r="L255">
        <v>5.91</v>
      </c>
      <c r="M255" s="25">
        <v>0.18609999999999999</v>
      </c>
      <c r="N255" s="25">
        <v>0.16420000000000001</v>
      </c>
      <c r="O255">
        <v>2.62</v>
      </c>
      <c r="P255" s="25">
        <v>8.6800000000000002E-2</v>
      </c>
      <c r="Q255" s="25">
        <v>0.17330000000000001</v>
      </c>
      <c r="R255" s="26">
        <v>18106800</v>
      </c>
      <c r="S255" s="26">
        <v>1611720000</v>
      </c>
      <c r="T255">
        <v>0.33</v>
      </c>
      <c r="U255" s="25">
        <v>0.31069999999999998</v>
      </c>
    </row>
    <row r="256" spans="1:21" x14ac:dyDescent="0.25">
      <c r="A256" t="s">
        <v>41</v>
      </c>
      <c r="B256">
        <v>1.36</v>
      </c>
      <c r="C256">
        <v>-4.4800000000000004</v>
      </c>
      <c r="D256">
        <v>0.39</v>
      </c>
      <c r="E256">
        <v>0.17499999999999999</v>
      </c>
      <c r="F256" s="25">
        <v>0</v>
      </c>
      <c r="G256">
        <v>0.14699999999999999</v>
      </c>
      <c r="H256">
        <v>-1.83</v>
      </c>
      <c r="I256">
        <v>-3.64</v>
      </c>
      <c r="J256">
        <v>-0.31</v>
      </c>
      <c r="K256">
        <v>-7.31</v>
      </c>
      <c r="L256">
        <v>5.53</v>
      </c>
      <c r="M256" s="25">
        <v>-4.82E-2</v>
      </c>
      <c r="N256" s="25">
        <v>-3.9199999999999999E-2</v>
      </c>
      <c r="O256">
        <v>0.66</v>
      </c>
      <c r="P256" s="25">
        <v>-4.7500000000000001E-2</v>
      </c>
      <c r="Q256" s="25">
        <v>-8.8099999999999998E-2</v>
      </c>
      <c r="R256" s="26">
        <v>464184</v>
      </c>
      <c r="S256" s="26">
        <v>987889000</v>
      </c>
      <c r="T256">
        <v>0.59</v>
      </c>
      <c r="U256" s="25">
        <v>0.1593</v>
      </c>
    </row>
    <row r="257" spans="1:21" x14ac:dyDescent="0.25">
      <c r="A257" t="s">
        <v>102</v>
      </c>
      <c r="B257">
        <v>3.4</v>
      </c>
      <c r="C257">
        <v>12.88</v>
      </c>
      <c r="D257">
        <v>0.65</v>
      </c>
      <c r="E257">
        <v>0.69499999999999995</v>
      </c>
      <c r="F257" s="25">
        <v>0.34539999999999998</v>
      </c>
      <c r="G257">
        <v>0.28199999999999997</v>
      </c>
      <c r="H257">
        <v>0.56999999999999995</v>
      </c>
      <c r="I257">
        <v>11.02</v>
      </c>
      <c r="J257">
        <v>1.06</v>
      </c>
      <c r="K257">
        <v>11.01</v>
      </c>
      <c r="L257">
        <v>10.37</v>
      </c>
      <c r="M257" s="25">
        <v>6.3100000000000003E-2</v>
      </c>
      <c r="N257" s="25">
        <v>0.11459999999999999</v>
      </c>
      <c r="O257">
        <v>2.78</v>
      </c>
      <c r="P257" s="25">
        <v>3.0599999999999999E-2</v>
      </c>
      <c r="Q257" s="25">
        <v>5.0299999999999997E-2</v>
      </c>
      <c r="R257" s="26">
        <v>1382540</v>
      </c>
      <c r="S257" s="26">
        <v>1083040000</v>
      </c>
      <c r="T257">
        <v>0.32</v>
      </c>
      <c r="U257" s="25">
        <v>0.1419</v>
      </c>
    </row>
    <row r="258" spans="1:21" x14ac:dyDescent="0.25">
      <c r="A258" t="s">
        <v>262</v>
      </c>
      <c r="B258">
        <v>3.96</v>
      </c>
      <c r="C258">
        <v>-0.91</v>
      </c>
      <c r="D258">
        <v>2.46</v>
      </c>
      <c r="E258">
        <v>2.4E-2</v>
      </c>
      <c r="F258" s="25">
        <v>0</v>
      </c>
      <c r="G258">
        <v>2.9000000000000001E-2</v>
      </c>
      <c r="H258">
        <v>0.17</v>
      </c>
      <c r="I258">
        <v>0.31</v>
      </c>
      <c r="J258">
        <v>-0.06</v>
      </c>
      <c r="K258">
        <v>7.88</v>
      </c>
      <c r="L258">
        <v>6.11</v>
      </c>
      <c r="M258" s="25">
        <v>7.6999999999999999E-2</v>
      </c>
      <c r="N258" s="25">
        <v>-2.5899999999999999E-2</v>
      </c>
      <c r="O258">
        <v>1.56</v>
      </c>
      <c r="P258" s="25">
        <v>0.1167</v>
      </c>
      <c r="Q258" s="25">
        <v>-2.6882999999999999</v>
      </c>
      <c r="R258" s="26">
        <v>12190.7</v>
      </c>
      <c r="S258" s="26">
        <v>9319000</v>
      </c>
      <c r="T258">
        <v>66.91</v>
      </c>
      <c r="U258" s="25">
        <v>9.9000000000000005E-2</v>
      </c>
    </row>
    <row r="259" spans="1:21" x14ac:dyDescent="0.25">
      <c r="A259" t="s">
        <v>416</v>
      </c>
      <c r="B259">
        <v>7.8</v>
      </c>
      <c r="C259">
        <v>13.3</v>
      </c>
      <c r="D259">
        <v>0.51</v>
      </c>
      <c r="E259">
        <v>0.151</v>
      </c>
      <c r="F259" s="25">
        <v>3.9199999999999999E-2</v>
      </c>
      <c r="G259">
        <v>0.16200000000000001</v>
      </c>
      <c r="H259">
        <v>1.9</v>
      </c>
      <c r="I259">
        <v>3.19</v>
      </c>
      <c r="J259">
        <v>-0.94</v>
      </c>
      <c r="K259">
        <v>4.7699999999999996</v>
      </c>
      <c r="L259">
        <v>2.75</v>
      </c>
      <c r="M259" s="25">
        <v>4.7300000000000002E-2</v>
      </c>
      <c r="N259" s="25">
        <v>1.14E-2</v>
      </c>
      <c r="O259">
        <v>1.2</v>
      </c>
      <c r="P259" s="25">
        <v>7.2499999999999995E-2</v>
      </c>
      <c r="Q259" s="25">
        <v>3.8199999999999998E-2</v>
      </c>
      <c r="R259" s="26">
        <v>252933000</v>
      </c>
      <c r="S259" s="26">
        <v>11357900000</v>
      </c>
      <c r="T259">
        <v>0.4</v>
      </c>
      <c r="U259" s="25">
        <v>3.7999999999999999E-2</v>
      </c>
    </row>
    <row r="260" spans="1:21" x14ac:dyDescent="0.25">
      <c r="A260" t="s">
        <v>159</v>
      </c>
      <c r="B260">
        <v>10.93</v>
      </c>
      <c r="C260">
        <v>8.98</v>
      </c>
      <c r="D260">
        <v>1.72</v>
      </c>
      <c r="E260">
        <v>1.5660000000000001</v>
      </c>
      <c r="F260" s="25">
        <v>4.7300000000000002E-2</v>
      </c>
      <c r="G260">
        <v>0.65700000000000003</v>
      </c>
      <c r="H260">
        <v>3.43</v>
      </c>
      <c r="I260">
        <v>4.58</v>
      </c>
      <c r="J260">
        <v>-2.52</v>
      </c>
      <c r="K260">
        <v>6.7</v>
      </c>
      <c r="L260">
        <v>4.6900000000000004</v>
      </c>
      <c r="M260" s="25">
        <v>0.34150000000000003</v>
      </c>
      <c r="N260" s="25">
        <v>0.17460000000000001</v>
      </c>
      <c r="O260">
        <v>2.17</v>
      </c>
      <c r="P260" s="25">
        <v>0.18529999999999999</v>
      </c>
      <c r="Q260" s="25">
        <v>0.19170000000000001</v>
      </c>
      <c r="R260" s="26">
        <v>7773120</v>
      </c>
      <c r="S260" s="26">
        <v>1487240000</v>
      </c>
      <c r="T260">
        <v>1.28</v>
      </c>
      <c r="U260" s="25">
        <v>0.32</v>
      </c>
    </row>
    <row r="261" spans="1:21" x14ac:dyDescent="0.25">
      <c r="A261" t="s">
        <v>181</v>
      </c>
      <c r="B261">
        <v>1.05</v>
      </c>
      <c r="C261">
        <v>-4.59</v>
      </c>
      <c r="D261">
        <v>0.28999999999999998</v>
      </c>
      <c r="E261">
        <v>0.252</v>
      </c>
      <c r="F261" s="25">
        <v>0</v>
      </c>
      <c r="G261">
        <v>0.16300000000000001</v>
      </c>
      <c r="H261">
        <v>0.46</v>
      </c>
      <c r="I261">
        <v>-5.97</v>
      </c>
      <c r="J261">
        <v>0.71</v>
      </c>
      <c r="K261">
        <v>-7.47</v>
      </c>
      <c r="L261">
        <v>-12.78</v>
      </c>
      <c r="M261" s="25">
        <v>-4.2200000000000001E-2</v>
      </c>
      <c r="N261" s="25">
        <v>-5.4800000000000001E-2</v>
      </c>
      <c r="O261">
        <v>2.11</v>
      </c>
      <c r="P261" s="25">
        <v>-3.78E-2</v>
      </c>
      <c r="Q261" s="25">
        <v>-6.3500000000000001E-2</v>
      </c>
      <c r="R261" s="26">
        <v>1495160</v>
      </c>
      <c r="S261" s="26">
        <v>2953430000</v>
      </c>
      <c r="T261">
        <v>0.23</v>
      </c>
      <c r="U261" s="25">
        <v>-9.1899999999999996E-2</v>
      </c>
    </row>
    <row r="262" spans="1:21" x14ac:dyDescent="0.25">
      <c r="A262" t="s">
        <v>417</v>
      </c>
      <c r="B262">
        <v>17.399999999999999</v>
      </c>
      <c r="C262">
        <v>66.39</v>
      </c>
      <c r="D262">
        <v>1.08</v>
      </c>
      <c r="E262">
        <v>0.17399999999999999</v>
      </c>
      <c r="F262" s="25">
        <v>0</v>
      </c>
      <c r="G262">
        <v>0.122</v>
      </c>
      <c r="H262">
        <v>-1.25</v>
      </c>
      <c r="I262">
        <v>1.72</v>
      </c>
      <c r="J262">
        <v>-0.26</v>
      </c>
      <c r="K262">
        <v>6.46</v>
      </c>
      <c r="L262">
        <v>5.59</v>
      </c>
      <c r="M262" s="25">
        <v>0.10150000000000001</v>
      </c>
      <c r="N262" s="25">
        <v>2.5999999999999999E-3</v>
      </c>
      <c r="O262">
        <v>0.81</v>
      </c>
      <c r="P262" s="25">
        <v>7.6300000000000007E-2</v>
      </c>
      <c r="Q262" s="25">
        <v>1.6199999999999999E-2</v>
      </c>
      <c r="R262" s="26">
        <v>22725</v>
      </c>
      <c r="S262" s="26">
        <v>160158000</v>
      </c>
      <c r="T262">
        <v>3</v>
      </c>
      <c r="U262" s="25">
        <v>0.1429</v>
      </c>
    </row>
    <row r="263" spans="1:21" x14ac:dyDescent="0.25">
      <c r="A263" t="s">
        <v>418</v>
      </c>
      <c r="B263">
        <v>26.09</v>
      </c>
      <c r="C263">
        <v>12.76</v>
      </c>
      <c r="D263">
        <v>-0.62</v>
      </c>
      <c r="E263">
        <v>0.51</v>
      </c>
      <c r="F263" s="25">
        <v>0</v>
      </c>
      <c r="G263">
        <v>0.48699999999999999</v>
      </c>
      <c r="H263">
        <v>-0.5</v>
      </c>
      <c r="I263">
        <v>2.83</v>
      </c>
      <c r="J263">
        <v>-0.4</v>
      </c>
      <c r="K263">
        <v>2.83</v>
      </c>
      <c r="L263">
        <v>2.4900000000000002</v>
      </c>
      <c r="M263" s="25">
        <v>0.1804</v>
      </c>
      <c r="N263" s="25">
        <v>4.0099999999999997E-2</v>
      </c>
      <c r="O263">
        <v>0.37</v>
      </c>
      <c r="P263" s="25">
        <v>0.1817</v>
      </c>
      <c r="Q263" s="25">
        <v>-4.8300000000000003E-2</v>
      </c>
      <c r="R263" s="26">
        <v>31172.7</v>
      </c>
      <c r="S263" s="26">
        <v>-300501000</v>
      </c>
      <c r="T263">
        <v>0</v>
      </c>
      <c r="U263" s="25">
        <v>7.1999999999999995E-2</v>
      </c>
    </row>
    <row r="264" spans="1:21" x14ac:dyDescent="0.25">
      <c r="A264" t="s">
        <v>419</v>
      </c>
      <c r="B264">
        <v>131</v>
      </c>
      <c r="C264">
        <v>-19.78</v>
      </c>
      <c r="D264">
        <v>1.62</v>
      </c>
      <c r="E264">
        <v>0</v>
      </c>
      <c r="F264" s="25">
        <v>0.38319999999999999</v>
      </c>
      <c r="G264">
        <v>0.75700000000000001</v>
      </c>
      <c r="H264">
        <v>1.5</v>
      </c>
      <c r="I264">
        <v>-62.85</v>
      </c>
      <c r="J264">
        <v>10.58</v>
      </c>
      <c r="K264">
        <v>-41.56</v>
      </c>
      <c r="L264">
        <v>-42.68</v>
      </c>
      <c r="M264" s="25">
        <v>0</v>
      </c>
      <c r="N264" s="25">
        <v>0</v>
      </c>
      <c r="O264">
        <v>6.12</v>
      </c>
      <c r="P264" s="25">
        <v>-2.8299999999999999E-2</v>
      </c>
      <c r="Q264" s="25">
        <v>-8.1900000000000001E-2</v>
      </c>
      <c r="R264" s="26">
        <v>42073.8</v>
      </c>
      <c r="S264" s="26">
        <v>990925000</v>
      </c>
      <c r="T264">
        <v>0.68</v>
      </c>
      <c r="U264" s="25">
        <v>-0.99450000000000005</v>
      </c>
    </row>
    <row r="265" spans="1:21" x14ac:dyDescent="0.25">
      <c r="A265" t="s">
        <v>420</v>
      </c>
      <c r="B265">
        <v>12.53</v>
      </c>
      <c r="C265">
        <v>17.420000000000002</v>
      </c>
      <c r="D265">
        <v>1.78</v>
      </c>
      <c r="E265">
        <v>1.167</v>
      </c>
      <c r="F265" s="25">
        <v>2.4799999999999999E-2</v>
      </c>
      <c r="G265">
        <v>0.40400000000000003</v>
      </c>
      <c r="H265">
        <v>5.48</v>
      </c>
      <c r="I265">
        <v>4.5</v>
      </c>
      <c r="J265">
        <v>-0.67</v>
      </c>
      <c r="K265">
        <v>10.02</v>
      </c>
      <c r="L265">
        <v>7.76</v>
      </c>
      <c r="M265" s="25">
        <v>0.25929999999999997</v>
      </c>
      <c r="N265" s="25">
        <v>7.0199999999999999E-2</v>
      </c>
      <c r="O265">
        <v>1.81</v>
      </c>
      <c r="P265" s="25">
        <v>0.1021</v>
      </c>
      <c r="Q265" s="25">
        <v>0.1023</v>
      </c>
      <c r="R265" s="26">
        <v>88725400</v>
      </c>
      <c r="S265" s="26">
        <v>14199100000</v>
      </c>
      <c r="T265">
        <v>2.65</v>
      </c>
      <c r="U265" s="25">
        <v>0.16200000000000001</v>
      </c>
    </row>
    <row r="266" spans="1:21" x14ac:dyDescent="0.25">
      <c r="A266" t="s">
        <v>236</v>
      </c>
      <c r="B266">
        <v>6.26</v>
      </c>
      <c r="C266">
        <v>8.33</v>
      </c>
      <c r="D266">
        <v>0.84</v>
      </c>
      <c r="E266">
        <v>0.155</v>
      </c>
      <c r="F266" s="25">
        <v>2.9499999999999998E-2</v>
      </c>
      <c r="G266">
        <v>7.4999999999999997E-2</v>
      </c>
      <c r="H266">
        <v>-1.94</v>
      </c>
      <c r="I266">
        <v>0.72</v>
      </c>
      <c r="J266">
        <v>-0.11</v>
      </c>
      <c r="K266">
        <v>6.34</v>
      </c>
      <c r="L266">
        <v>3.66</v>
      </c>
      <c r="M266" s="25">
        <v>0.21510000000000001</v>
      </c>
      <c r="N266" s="25">
        <v>1.8599999999999998E-2</v>
      </c>
      <c r="O266">
        <v>0.87</v>
      </c>
      <c r="P266" s="25">
        <v>0.1331</v>
      </c>
      <c r="Q266" s="25">
        <v>0.1002</v>
      </c>
      <c r="R266" s="26">
        <v>47628900</v>
      </c>
      <c r="S266" s="26">
        <v>2607680000</v>
      </c>
      <c r="T266">
        <v>7.66</v>
      </c>
      <c r="U266" s="25">
        <v>0.3589</v>
      </c>
    </row>
    <row r="267" spans="1:21" x14ac:dyDescent="0.25">
      <c r="A267" t="s">
        <v>111</v>
      </c>
      <c r="B267">
        <v>23.22</v>
      </c>
      <c r="C267">
        <v>7.06</v>
      </c>
      <c r="D267">
        <v>7.07</v>
      </c>
      <c r="E267">
        <v>0.127</v>
      </c>
      <c r="F267" s="25">
        <v>0.12889999999999999</v>
      </c>
      <c r="G267">
        <v>0.14699999999999999</v>
      </c>
      <c r="H267">
        <v>2.21</v>
      </c>
      <c r="I267">
        <v>3.02</v>
      </c>
      <c r="J267">
        <v>-0.31</v>
      </c>
      <c r="K267">
        <v>9.6</v>
      </c>
      <c r="L267">
        <v>4.5599999999999996</v>
      </c>
      <c r="M267" s="25">
        <v>4.2099999999999999E-2</v>
      </c>
      <c r="N267" s="25">
        <v>2.64E-2</v>
      </c>
      <c r="O267">
        <v>1.22</v>
      </c>
      <c r="P267" s="25">
        <v>6.9900000000000004E-2</v>
      </c>
      <c r="Q267" s="25">
        <v>1.0015000000000001</v>
      </c>
      <c r="R267" s="26">
        <v>157257000</v>
      </c>
      <c r="S267" s="26">
        <v>2816470000</v>
      </c>
      <c r="T267">
        <v>22.57</v>
      </c>
      <c r="U267" s="25">
        <v>0.21590000000000001</v>
      </c>
    </row>
    <row r="268" spans="1:21" x14ac:dyDescent="0.25">
      <c r="A268" t="s">
        <v>421</v>
      </c>
      <c r="B268">
        <v>26.5</v>
      </c>
      <c r="C268">
        <v>6.48</v>
      </c>
      <c r="D268">
        <v>1.1599999999999999</v>
      </c>
      <c r="E268">
        <v>1.2689999999999999</v>
      </c>
      <c r="F268" s="25">
        <v>0</v>
      </c>
      <c r="G268">
        <v>0.438</v>
      </c>
      <c r="H268">
        <v>4.62</v>
      </c>
      <c r="I268">
        <v>3.75</v>
      </c>
      <c r="J268">
        <v>-1.1399999999999999</v>
      </c>
      <c r="K268">
        <v>5.68</v>
      </c>
      <c r="L268">
        <v>3.95</v>
      </c>
      <c r="M268" s="25">
        <v>0.33810000000000001</v>
      </c>
      <c r="N268" s="25">
        <v>0.19589999999999999</v>
      </c>
      <c r="O268">
        <v>1.67</v>
      </c>
      <c r="P268" s="25">
        <v>0.1474</v>
      </c>
      <c r="Q268" s="25">
        <v>0.1784</v>
      </c>
      <c r="R268" s="26">
        <v>1525.86</v>
      </c>
      <c r="S268" s="26">
        <v>7748660000</v>
      </c>
      <c r="T268">
        <v>1.07</v>
      </c>
      <c r="U268" s="25">
        <v>0.1729</v>
      </c>
    </row>
    <row r="269" spans="1:21" x14ac:dyDescent="0.25">
      <c r="A269" t="s">
        <v>421</v>
      </c>
      <c r="B269">
        <v>26.5</v>
      </c>
      <c r="C269">
        <v>6.48</v>
      </c>
      <c r="D269">
        <v>1.1599999999999999</v>
      </c>
      <c r="E269">
        <v>1.2689999999999999</v>
      </c>
      <c r="F269" s="25">
        <v>0</v>
      </c>
      <c r="G269">
        <v>0.438</v>
      </c>
      <c r="H269">
        <v>4.62</v>
      </c>
      <c r="I269">
        <v>3.75</v>
      </c>
      <c r="J269">
        <v>-1.1399999999999999</v>
      </c>
      <c r="K269">
        <v>5.68</v>
      </c>
      <c r="L269">
        <v>3.95</v>
      </c>
      <c r="M269" s="25">
        <v>0.33810000000000001</v>
      </c>
      <c r="N269" s="25">
        <v>0.19589999999999999</v>
      </c>
      <c r="O269">
        <v>1.67</v>
      </c>
      <c r="P269" s="25">
        <v>0.1474</v>
      </c>
      <c r="Q269" s="25">
        <v>0.1784</v>
      </c>
      <c r="R269" s="26">
        <v>1525.86</v>
      </c>
      <c r="S269" s="26">
        <v>7748660000</v>
      </c>
      <c r="T269">
        <v>1.07</v>
      </c>
      <c r="U269" s="25">
        <v>0.1729</v>
      </c>
    </row>
    <row r="270" spans="1:21" x14ac:dyDescent="0.25">
      <c r="A270" t="s">
        <v>422</v>
      </c>
      <c r="B270">
        <v>25</v>
      </c>
      <c r="C270">
        <v>6.11</v>
      </c>
      <c r="D270">
        <v>1.0900000000000001</v>
      </c>
      <c r="E270">
        <v>1.1970000000000001</v>
      </c>
      <c r="F270" s="25">
        <v>4.19E-2</v>
      </c>
      <c r="G270">
        <v>0.41299999999999998</v>
      </c>
      <c r="H270">
        <v>4.3499999999999996</v>
      </c>
      <c r="I270">
        <v>3.54</v>
      </c>
      <c r="J270">
        <v>-1.07</v>
      </c>
      <c r="K270">
        <v>5.47</v>
      </c>
      <c r="L270">
        <v>3.8</v>
      </c>
      <c r="M270" s="25">
        <v>0.33810000000000001</v>
      </c>
      <c r="N270" s="25">
        <v>0.19589999999999999</v>
      </c>
      <c r="O270">
        <v>1.67</v>
      </c>
      <c r="P270" s="25">
        <v>0.1474</v>
      </c>
      <c r="Q270" s="25">
        <v>0.1784</v>
      </c>
      <c r="R270" s="26">
        <v>233.21</v>
      </c>
      <c r="S270" s="26">
        <v>7748660000</v>
      </c>
      <c r="T270">
        <v>1.07</v>
      </c>
      <c r="U270" s="25">
        <v>0.1729</v>
      </c>
    </row>
    <row r="271" spans="1:21" x14ac:dyDescent="0.25">
      <c r="A271" t="s">
        <v>422</v>
      </c>
      <c r="B271">
        <v>25</v>
      </c>
      <c r="C271">
        <v>6.11</v>
      </c>
      <c r="D271">
        <v>1.0900000000000001</v>
      </c>
      <c r="E271">
        <v>1.1970000000000001</v>
      </c>
      <c r="F271" s="25">
        <v>4.19E-2</v>
      </c>
      <c r="G271">
        <v>0.41299999999999998</v>
      </c>
      <c r="H271">
        <v>4.3499999999999996</v>
      </c>
      <c r="I271">
        <v>3.54</v>
      </c>
      <c r="J271">
        <v>-1.07</v>
      </c>
      <c r="K271">
        <v>5.47</v>
      </c>
      <c r="L271">
        <v>3.8</v>
      </c>
      <c r="M271" s="25">
        <v>0.33810000000000001</v>
      </c>
      <c r="N271" s="25">
        <v>0.19589999999999999</v>
      </c>
      <c r="O271">
        <v>1.67</v>
      </c>
      <c r="P271" s="25">
        <v>0.1474</v>
      </c>
      <c r="Q271" s="25">
        <v>0.1784</v>
      </c>
      <c r="R271" s="26">
        <v>233.21</v>
      </c>
      <c r="S271" s="26">
        <v>7748660000</v>
      </c>
      <c r="T271">
        <v>1.07</v>
      </c>
      <c r="U271" s="25">
        <v>0.1729</v>
      </c>
    </row>
    <row r="272" spans="1:21" x14ac:dyDescent="0.25">
      <c r="A272" t="s">
        <v>423</v>
      </c>
      <c r="B272">
        <v>25</v>
      </c>
      <c r="C272">
        <v>6.11</v>
      </c>
      <c r="D272">
        <v>1.0900000000000001</v>
      </c>
      <c r="E272">
        <v>1.1970000000000001</v>
      </c>
      <c r="F272" s="25">
        <v>4.19E-2</v>
      </c>
      <c r="G272">
        <v>0.41299999999999998</v>
      </c>
      <c r="H272">
        <v>4.3499999999999996</v>
      </c>
      <c r="I272">
        <v>3.54</v>
      </c>
      <c r="J272">
        <v>-1.07</v>
      </c>
      <c r="K272">
        <v>5.47</v>
      </c>
      <c r="L272">
        <v>3.8</v>
      </c>
      <c r="M272" s="25">
        <v>0.33810000000000001</v>
      </c>
      <c r="N272" s="25">
        <v>0.19589999999999999</v>
      </c>
      <c r="O272">
        <v>1.67</v>
      </c>
      <c r="P272" s="25">
        <v>0.1474</v>
      </c>
      <c r="Q272" s="25">
        <v>0.1784</v>
      </c>
      <c r="R272" s="26">
        <v>298.81</v>
      </c>
      <c r="S272" s="26">
        <v>7748660000</v>
      </c>
      <c r="T272">
        <v>1.07</v>
      </c>
      <c r="U272" s="25">
        <v>0.1729</v>
      </c>
    </row>
    <row r="273" spans="1:21" x14ac:dyDescent="0.25">
      <c r="A273" t="s">
        <v>423</v>
      </c>
      <c r="B273">
        <v>25</v>
      </c>
      <c r="C273">
        <v>6.11</v>
      </c>
      <c r="D273">
        <v>1.0900000000000001</v>
      </c>
      <c r="E273">
        <v>1.1970000000000001</v>
      </c>
      <c r="F273" s="25">
        <v>4.19E-2</v>
      </c>
      <c r="G273">
        <v>0.41299999999999998</v>
      </c>
      <c r="H273">
        <v>4.3499999999999996</v>
      </c>
      <c r="I273">
        <v>3.54</v>
      </c>
      <c r="J273">
        <v>-1.07</v>
      </c>
      <c r="K273">
        <v>5.47</v>
      </c>
      <c r="L273">
        <v>3.8</v>
      </c>
      <c r="M273" s="25">
        <v>0.33810000000000001</v>
      </c>
      <c r="N273" s="25">
        <v>0.19589999999999999</v>
      </c>
      <c r="O273">
        <v>1.67</v>
      </c>
      <c r="P273" s="25">
        <v>0.1474</v>
      </c>
      <c r="Q273" s="25">
        <v>0.1784</v>
      </c>
      <c r="R273" s="26">
        <v>298.81</v>
      </c>
      <c r="S273" s="26">
        <v>7748660000</v>
      </c>
      <c r="T273">
        <v>1.07</v>
      </c>
      <c r="U273" s="25">
        <v>0.1729</v>
      </c>
    </row>
    <row r="274" spans="1:21" x14ac:dyDescent="0.25">
      <c r="A274" t="s">
        <v>235</v>
      </c>
      <c r="B274">
        <v>6.21</v>
      </c>
      <c r="C274">
        <v>-5.05</v>
      </c>
      <c r="D274">
        <v>0.57999999999999996</v>
      </c>
      <c r="E274">
        <v>0.372</v>
      </c>
      <c r="F274" s="25">
        <v>0</v>
      </c>
      <c r="G274">
        <v>0.122</v>
      </c>
      <c r="H274">
        <v>0.85</v>
      </c>
      <c r="I274">
        <v>3.46</v>
      </c>
      <c r="J274">
        <v>-0.39</v>
      </c>
      <c r="K274">
        <v>12.21</v>
      </c>
      <c r="L274">
        <v>10.210000000000001</v>
      </c>
      <c r="M274" s="25">
        <v>0.1075</v>
      </c>
      <c r="N274" s="25">
        <v>-7.2099999999999997E-2</v>
      </c>
      <c r="O274">
        <v>1.47</v>
      </c>
      <c r="P274" s="25">
        <v>3.6799999999999999E-2</v>
      </c>
      <c r="Q274" s="25">
        <v>-0.11550000000000001</v>
      </c>
      <c r="R274" s="26">
        <v>66451900</v>
      </c>
      <c r="S274" s="26">
        <v>5996120000</v>
      </c>
      <c r="T274">
        <v>1.56</v>
      </c>
      <c r="U274" s="25">
        <v>7.5300000000000006E-2</v>
      </c>
    </row>
    <row r="275" spans="1:21" x14ac:dyDescent="0.25">
      <c r="A275" t="s">
        <v>164</v>
      </c>
      <c r="B275">
        <v>3.73</v>
      </c>
      <c r="C275">
        <v>6.65</v>
      </c>
      <c r="D275">
        <v>0.4</v>
      </c>
      <c r="E275">
        <v>0.33600000000000002</v>
      </c>
      <c r="F275" s="25">
        <v>0.13159999999999999</v>
      </c>
      <c r="G275">
        <v>0.17699999999999999</v>
      </c>
      <c r="H275">
        <v>0.37</v>
      </c>
      <c r="I275">
        <v>4.12</v>
      </c>
      <c r="J275">
        <v>0.62</v>
      </c>
      <c r="K275">
        <v>9.1</v>
      </c>
      <c r="L275">
        <v>7.09</v>
      </c>
      <c r="M275" s="25">
        <v>8.1600000000000006E-2</v>
      </c>
      <c r="N275" s="25">
        <v>7.0999999999999994E-2</v>
      </c>
      <c r="O275">
        <v>2.4500000000000002</v>
      </c>
      <c r="P275" s="25">
        <v>4.7300000000000002E-2</v>
      </c>
      <c r="Q275" s="25">
        <v>5.9499999999999997E-2</v>
      </c>
      <c r="R275" s="26">
        <v>2051230</v>
      </c>
      <c r="S275" s="26">
        <v>997155000</v>
      </c>
      <c r="T275">
        <v>0.63</v>
      </c>
      <c r="U275" s="25">
        <v>0.2676</v>
      </c>
    </row>
    <row r="276" spans="1:21" x14ac:dyDescent="0.25">
      <c r="A276" t="s">
        <v>26</v>
      </c>
      <c r="B276">
        <v>42.99</v>
      </c>
      <c r="C276">
        <v>10.28</v>
      </c>
      <c r="D276">
        <v>0.81</v>
      </c>
      <c r="E276">
        <v>0.72599999999999998</v>
      </c>
      <c r="F276" s="25">
        <v>6.4000000000000001E-2</v>
      </c>
      <c r="G276">
        <v>0.68200000000000005</v>
      </c>
      <c r="H276">
        <v>1.1000000000000001</v>
      </c>
      <c r="I276">
        <v>9.89</v>
      </c>
      <c r="J276">
        <v>1.1299999999999999</v>
      </c>
      <c r="K276">
        <v>5.92</v>
      </c>
      <c r="L276">
        <v>4.38</v>
      </c>
      <c r="M276" s="25">
        <v>7.3400000000000007E-2</v>
      </c>
      <c r="N276" s="25">
        <v>7.0599999999999996E-2</v>
      </c>
      <c r="O276">
        <v>5.36</v>
      </c>
      <c r="P276" s="25">
        <v>0.1055</v>
      </c>
      <c r="Q276" s="25">
        <v>7.9100000000000004E-2</v>
      </c>
      <c r="R276" s="26">
        <v>140878</v>
      </c>
      <c r="S276" s="26">
        <v>464622000</v>
      </c>
      <c r="T276">
        <v>0.03</v>
      </c>
      <c r="U276" s="25">
        <v>2.6100000000000002E-2</v>
      </c>
    </row>
    <row r="277" spans="1:21" x14ac:dyDescent="0.25">
      <c r="A277" t="s">
        <v>158</v>
      </c>
      <c r="B277">
        <v>25.75</v>
      </c>
      <c r="C277">
        <v>10.1</v>
      </c>
      <c r="D277">
        <v>2.2999999999999998</v>
      </c>
      <c r="E277">
        <v>5.1879999999999997</v>
      </c>
      <c r="F277" s="25">
        <v>4.36E-2</v>
      </c>
      <c r="G277">
        <v>1.0469999999999999</v>
      </c>
      <c r="H277">
        <v>20.67</v>
      </c>
      <c r="I277">
        <v>7.21</v>
      </c>
      <c r="J277">
        <v>-2.82</v>
      </c>
      <c r="K277">
        <v>9.52</v>
      </c>
      <c r="L277">
        <v>8.83</v>
      </c>
      <c r="M277" s="25">
        <v>0.7198</v>
      </c>
      <c r="N277" s="25">
        <v>0.51359999999999995</v>
      </c>
      <c r="O277">
        <v>1.41</v>
      </c>
      <c r="P277" s="25">
        <v>0.1653</v>
      </c>
      <c r="Q277" s="25">
        <v>0.2276</v>
      </c>
      <c r="R277" s="26">
        <v>92705800</v>
      </c>
      <c r="S277" s="26">
        <v>5746470000</v>
      </c>
      <c r="T277">
        <v>0.95</v>
      </c>
      <c r="U277" s="25">
        <v>0.2457</v>
      </c>
    </row>
    <row r="278" spans="1:21" x14ac:dyDescent="0.25">
      <c r="A278" t="s">
        <v>499</v>
      </c>
      <c r="B278">
        <v>13</v>
      </c>
      <c r="C278">
        <v>1.03</v>
      </c>
      <c r="D278">
        <v>1.35</v>
      </c>
      <c r="E278">
        <v>9.9000000000000005E-2</v>
      </c>
      <c r="F278" s="25">
        <v>0</v>
      </c>
      <c r="G278">
        <v>8.7999999999999995E-2</v>
      </c>
      <c r="H278">
        <v>-0.89</v>
      </c>
      <c r="I278">
        <v>-0.78</v>
      </c>
      <c r="J278">
        <v>-0.16</v>
      </c>
      <c r="K278">
        <v>-3.1</v>
      </c>
      <c r="L278">
        <v>-3.72</v>
      </c>
      <c r="M278" s="25">
        <v>-0.12770000000000001</v>
      </c>
      <c r="N278" s="25">
        <v>9.69E-2</v>
      </c>
      <c r="O278">
        <v>0.79</v>
      </c>
      <c r="P278" s="25">
        <v>-0.128</v>
      </c>
      <c r="Q278" s="25">
        <v>1.3137000000000001</v>
      </c>
      <c r="R278" s="26">
        <v>60.88</v>
      </c>
      <c r="S278" s="26">
        <v>19835000</v>
      </c>
      <c r="T278">
        <v>4.4400000000000004</v>
      </c>
      <c r="U278" s="25">
        <v>0.113</v>
      </c>
    </row>
    <row r="279" spans="1:21" x14ac:dyDescent="0.25">
      <c r="A279" t="s">
        <v>424</v>
      </c>
      <c r="B279">
        <v>11.8</v>
      </c>
      <c r="C279">
        <v>0.93</v>
      </c>
      <c r="D279">
        <v>1.22</v>
      </c>
      <c r="E279">
        <v>0.09</v>
      </c>
      <c r="F279" s="25">
        <v>0</v>
      </c>
      <c r="G279">
        <v>7.9000000000000001E-2</v>
      </c>
      <c r="H279">
        <v>-0.81</v>
      </c>
      <c r="I279">
        <v>-0.71</v>
      </c>
      <c r="J279">
        <v>-0.14000000000000001</v>
      </c>
      <c r="K279">
        <v>-3.03</v>
      </c>
      <c r="L279">
        <v>-3.64</v>
      </c>
      <c r="M279" s="25">
        <v>-0.12770000000000001</v>
      </c>
      <c r="N279" s="25">
        <v>9.69E-2</v>
      </c>
      <c r="O279">
        <v>0.79</v>
      </c>
      <c r="P279" s="25">
        <v>-0.128</v>
      </c>
      <c r="Q279" s="25">
        <v>1.3137000000000001</v>
      </c>
      <c r="R279" s="26">
        <v>7148.79</v>
      </c>
      <c r="S279" s="26">
        <v>19835000</v>
      </c>
      <c r="T279">
        <v>4.4400000000000004</v>
      </c>
      <c r="U279" s="25">
        <v>0.113</v>
      </c>
    </row>
    <row r="280" spans="1:21" x14ac:dyDescent="0.25">
      <c r="A280" t="s">
        <v>150</v>
      </c>
      <c r="B280">
        <v>13.92</v>
      </c>
      <c r="C280">
        <v>9.5</v>
      </c>
      <c r="D280">
        <v>0.5</v>
      </c>
      <c r="E280">
        <v>0.13700000000000001</v>
      </c>
      <c r="F280" s="25">
        <v>4.19E-2</v>
      </c>
      <c r="G280">
        <v>0.14000000000000001</v>
      </c>
      <c r="H280">
        <v>0.79</v>
      </c>
      <c r="I280">
        <v>2.0699999999999998</v>
      </c>
      <c r="J280">
        <v>-0.63</v>
      </c>
      <c r="K280">
        <v>5.83</v>
      </c>
      <c r="L280">
        <v>3.87</v>
      </c>
      <c r="M280" s="25">
        <v>6.6000000000000003E-2</v>
      </c>
      <c r="N280" s="25">
        <v>2.1299999999999999E-2</v>
      </c>
      <c r="O280">
        <v>1.61</v>
      </c>
      <c r="P280" s="25">
        <v>9.4700000000000006E-2</v>
      </c>
      <c r="Q280" s="25">
        <v>5.2299999999999999E-2</v>
      </c>
      <c r="R280" s="26">
        <v>9725900</v>
      </c>
      <c r="S280" s="26">
        <v>4306800000</v>
      </c>
      <c r="T280">
        <v>1.35</v>
      </c>
      <c r="U280" s="25">
        <v>9.9299999999999999E-2</v>
      </c>
    </row>
    <row r="281" spans="1:21" x14ac:dyDescent="0.25">
      <c r="A281" t="s">
        <v>911</v>
      </c>
      <c r="B281">
        <v>9.5299999999999994</v>
      </c>
      <c r="C281">
        <v>14.25</v>
      </c>
      <c r="D281">
        <v>1.43</v>
      </c>
      <c r="E281">
        <v>0.59299999999999997</v>
      </c>
      <c r="F281" s="25">
        <v>0</v>
      </c>
      <c r="G281">
        <v>0.66200000000000003</v>
      </c>
      <c r="H281">
        <v>2.0299999999999998</v>
      </c>
      <c r="I281">
        <v>4.24</v>
      </c>
      <c r="J281">
        <v>5.25</v>
      </c>
      <c r="K281">
        <v>4.07</v>
      </c>
      <c r="L281">
        <v>3.31</v>
      </c>
      <c r="M281" s="25">
        <v>0.1399</v>
      </c>
      <c r="N281" s="25">
        <v>4.1599999999999998E-2</v>
      </c>
      <c r="O281">
        <v>1.97</v>
      </c>
      <c r="P281" s="25">
        <v>0.2475</v>
      </c>
      <c r="Q281" s="25">
        <v>0.1004</v>
      </c>
      <c r="R281" s="26">
        <v>19229100</v>
      </c>
      <c r="S281" s="26">
        <v>9154310000</v>
      </c>
      <c r="T281">
        <v>0.27</v>
      </c>
      <c r="U281" s="25">
        <v>4.07E-2</v>
      </c>
    </row>
    <row r="282" spans="1:21" x14ac:dyDescent="0.25">
      <c r="A282" t="s">
        <v>82</v>
      </c>
      <c r="B282">
        <v>24.49</v>
      </c>
      <c r="C282">
        <v>6.87</v>
      </c>
      <c r="D282">
        <v>0.84</v>
      </c>
      <c r="E282">
        <v>0.58299999999999996</v>
      </c>
      <c r="F282" s="25">
        <v>3.3799999999999997E-2</v>
      </c>
      <c r="G282">
        <v>0.26800000000000002</v>
      </c>
      <c r="H282">
        <v>9.74</v>
      </c>
      <c r="I282">
        <v>2.71</v>
      </c>
      <c r="J282">
        <v>-0.55000000000000004</v>
      </c>
      <c r="K282">
        <v>6.81</v>
      </c>
      <c r="L282">
        <v>5.36</v>
      </c>
      <c r="M282" s="25">
        <v>0.215</v>
      </c>
      <c r="N282" s="25">
        <v>8.5300000000000001E-2</v>
      </c>
      <c r="O282">
        <v>1.17</v>
      </c>
      <c r="P282" s="25">
        <v>0.10879999999999999</v>
      </c>
      <c r="Q282" s="25">
        <v>0.12280000000000001</v>
      </c>
      <c r="R282" s="26">
        <v>25271300</v>
      </c>
      <c r="S282" s="26">
        <v>35221000000</v>
      </c>
      <c r="T282">
        <v>1.44</v>
      </c>
      <c r="U282" s="25">
        <v>6.25E-2</v>
      </c>
    </row>
    <row r="283" spans="1:21" x14ac:dyDescent="0.25">
      <c r="A283" t="s">
        <v>425</v>
      </c>
      <c r="B283">
        <v>3.77</v>
      </c>
      <c r="C283">
        <v>0.1</v>
      </c>
      <c r="D283">
        <v>-0.2</v>
      </c>
      <c r="E283">
        <v>0.113</v>
      </c>
      <c r="F283" s="25">
        <v>0</v>
      </c>
      <c r="G283">
        <v>0.27700000000000002</v>
      </c>
      <c r="H283">
        <v>-0.54</v>
      </c>
      <c r="I283">
        <v>-0.75</v>
      </c>
      <c r="J283">
        <v>-0.15</v>
      </c>
      <c r="K283">
        <v>-0.12</v>
      </c>
      <c r="L283">
        <v>-13.26</v>
      </c>
      <c r="M283" s="25">
        <v>-0.15079999999999999</v>
      </c>
      <c r="N283" s="25">
        <v>1.1241000000000001</v>
      </c>
      <c r="O283">
        <v>0.53</v>
      </c>
      <c r="P283" s="25">
        <v>-0.52859999999999996</v>
      </c>
      <c r="Q283" s="25">
        <v>-1.9732000000000001</v>
      </c>
      <c r="R283" s="26">
        <v>1999.52</v>
      </c>
      <c r="S283" s="26">
        <v>-50521000</v>
      </c>
      <c r="T283">
        <v>-0.03</v>
      </c>
      <c r="U283" s="25">
        <v>-4.6100000000000002E-2</v>
      </c>
    </row>
    <row r="284" spans="1:21" x14ac:dyDescent="0.25">
      <c r="A284" t="s">
        <v>197</v>
      </c>
      <c r="B284">
        <v>25.7</v>
      </c>
      <c r="C284">
        <v>-7.54</v>
      </c>
      <c r="D284">
        <v>0.52</v>
      </c>
      <c r="E284">
        <v>0.85299999999999998</v>
      </c>
      <c r="F284" s="25">
        <v>0</v>
      </c>
      <c r="G284">
        <v>0.39300000000000002</v>
      </c>
      <c r="H284">
        <v>1.78</v>
      </c>
      <c r="I284">
        <v>-8.34</v>
      </c>
      <c r="J284">
        <v>3.48</v>
      </c>
      <c r="K284">
        <v>-4.07</v>
      </c>
      <c r="L284">
        <v>4</v>
      </c>
      <c r="M284" s="25">
        <v>-0.1023</v>
      </c>
      <c r="N284" s="25">
        <v>-0.11310000000000001</v>
      </c>
      <c r="O284">
        <v>2.54</v>
      </c>
      <c r="P284" s="25">
        <v>-6.5699999999999995E-2</v>
      </c>
      <c r="Q284" s="25">
        <v>-6.9599999999999995E-2</v>
      </c>
      <c r="R284" s="26">
        <v>209846</v>
      </c>
      <c r="S284" s="26">
        <v>447975000</v>
      </c>
      <c r="T284">
        <v>0.04</v>
      </c>
      <c r="U284" s="25">
        <v>5.1499999999999997E-2</v>
      </c>
    </row>
    <row r="285" spans="1:21" x14ac:dyDescent="0.25">
      <c r="A285" t="s">
        <v>426</v>
      </c>
      <c r="B285">
        <v>5.95</v>
      </c>
      <c r="C285">
        <v>0.95</v>
      </c>
      <c r="D285">
        <v>-0.32</v>
      </c>
      <c r="E285">
        <v>15.359</v>
      </c>
      <c r="F285" s="25">
        <v>0</v>
      </c>
      <c r="G285">
        <v>2.0350000000000001</v>
      </c>
      <c r="H285">
        <v>-0.32</v>
      </c>
      <c r="I285">
        <v>-47.12</v>
      </c>
      <c r="J285">
        <v>-0.28000000000000003</v>
      </c>
      <c r="K285">
        <v>-92.5</v>
      </c>
      <c r="L285">
        <v>-92.5</v>
      </c>
      <c r="M285" s="25">
        <v>-0.32590000000000002</v>
      </c>
      <c r="N285" s="25">
        <v>16.138000000000002</v>
      </c>
      <c r="O285">
        <v>0.01</v>
      </c>
      <c r="P285" s="25">
        <v>-4.3499999999999997E-2</v>
      </c>
      <c r="Q285" s="25">
        <v>-0.33439999999999998</v>
      </c>
      <c r="R285" s="26">
        <v>2312.69</v>
      </c>
      <c r="S285" s="26">
        <v>-123781000</v>
      </c>
      <c r="T285">
        <v>-0.31</v>
      </c>
      <c r="U285" s="25">
        <v>0.12959999999999999</v>
      </c>
    </row>
    <row r="286" spans="1:21" x14ac:dyDescent="0.25">
      <c r="A286" t="s">
        <v>121</v>
      </c>
      <c r="B286">
        <v>10.8</v>
      </c>
      <c r="C286">
        <v>-1.82</v>
      </c>
      <c r="D286">
        <v>0.98</v>
      </c>
      <c r="E286">
        <v>0.60199999999999998</v>
      </c>
      <c r="F286" s="25">
        <v>0</v>
      </c>
      <c r="G286">
        <v>0.42199999999999999</v>
      </c>
      <c r="H286">
        <v>2.98</v>
      </c>
      <c r="I286">
        <v>5.85</v>
      </c>
      <c r="J286">
        <v>-2.59</v>
      </c>
      <c r="K286">
        <v>7</v>
      </c>
      <c r="L286">
        <v>5.08</v>
      </c>
      <c r="M286" s="25">
        <v>0.10290000000000001</v>
      </c>
      <c r="N286" s="25">
        <v>-0.33029999999999998</v>
      </c>
      <c r="O286">
        <v>1.53</v>
      </c>
      <c r="P286" s="25">
        <v>9.9699999999999997E-2</v>
      </c>
      <c r="Q286" s="25">
        <v>-0.53959999999999997</v>
      </c>
      <c r="R286" s="26">
        <v>50283900</v>
      </c>
      <c r="S286" s="26">
        <v>15095900000</v>
      </c>
      <c r="T286">
        <v>0.44</v>
      </c>
      <c r="U286" s="25">
        <v>-0.12470000000000001</v>
      </c>
    </row>
    <row r="287" spans="1:21" x14ac:dyDescent="0.25">
      <c r="A287" t="s">
        <v>427</v>
      </c>
      <c r="B287">
        <v>2.81</v>
      </c>
      <c r="C287">
        <v>6.62</v>
      </c>
      <c r="D287">
        <v>0.87</v>
      </c>
      <c r="E287">
        <v>0.191</v>
      </c>
      <c r="F287" s="25">
        <v>0</v>
      </c>
      <c r="G287">
        <v>0.33500000000000002</v>
      </c>
      <c r="H287" s="26">
        <v>1.05</v>
      </c>
      <c r="I287">
        <v>4.6500000000000004</v>
      </c>
      <c r="J287">
        <v>3.55</v>
      </c>
      <c r="K287">
        <v>5.98</v>
      </c>
      <c r="L287">
        <v>5.42</v>
      </c>
      <c r="M287" s="25">
        <v>4.1000000000000002E-2</v>
      </c>
      <c r="N287" s="25">
        <v>2.8799999999999999E-2</v>
      </c>
      <c r="O287">
        <v>1.81</v>
      </c>
      <c r="P287" s="25">
        <v>9.1600000000000001E-2</v>
      </c>
      <c r="Q287" s="25">
        <v>0.13170000000000001</v>
      </c>
      <c r="R287" s="26">
        <v>17117.2</v>
      </c>
      <c r="S287" s="26">
        <v>42690000</v>
      </c>
      <c r="T287">
        <v>0.31</v>
      </c>
      <c r="U287" s="25">
        <v>0.22720000000000001</v>
      </c>
    </row>
    <row r="288" spans="1:21" x14ac:dyDescent="0.25">
      <c r="A288" t="s">
        <v>169</v>
      </c>
      <c r="B288">
        <v>11.54</v>
      </c>
      <c r="C288">
        <v>11.2</v>
      </c>
      <c r="D288">
        <v>4.62</v>
      </c>
      <c r="E288">
        <v>2.7210000000000001</v>
      </c>
      <c r="F288" s="25">
        <v>8.0100000000000005E-2</v>
      </c>
      <c r="G288">
        <v>2.8170000000000002</v>
      </c>
      <c r="H288">
        <v>-56.34</v>
      </c>
      <c r="I288">
        <v>8.7200000000000006</v>
      </c>
      <c r="J288">
        <v>-24.98</v>
      </c>
      <c r="K288">
        <v>8.0299999999999994</v>
      </c>
      <c r="L288">
        <v>7.49</v>
      </c>
      <c r="M288" s="25">
        <v>0.31230000000000002</v>
      </c>
      <c r="N288" s="25">
        <v>0.24279999999999999</v>
      </c>
      <c r="O288">
        <v>0.85</v>
      </c>
      <c r="P288" s="25">
        <v>0.42630000000000001</v>
      </c>
      <c r="Q288" s="25">
        <v>0.41210000000000002</v>
      </c>
      <c r="R288" s="26">
        <v>23895100</v>
      </c>
      <c r="S288" s="26">
        <v>1364460000</v>
      </c>
      <c r="T288">
        <v>0</v>
      </c>
      <c r="U288" s="25">
        <v>7.2499999999999995E-2</v>
      </c>
    </row>
    <row r="289" spans="1:21" x14ac:dyDescent="0.25">
      <c r="A289" t="s">
        <v>428</v>
      </c>
      <c r="B289">
        <v>22.29</v>
      </c>
      <c r="C289">
        <v>9.73</v>
      </c>
      <c r="D289">
        <v>1.89</v>
      </c>
      <c r="E289">
        <v>1.161</v>
      </c>
      <c r="F289" s="25">
        <v>0.13270000000000001</v>
      </c>
      <c r="G289">
        <v>0.94899999999999995</v>
      </c>
      <c r="H289">
        <v>2.5499999999999998</v>
      </c>
      <c r="I289">
        <v>6.99</v>
      </c>
      <c r="J289">
        <v>8.44</v>
      </c>
      <c r="K289">
        <v>8.15</v>
      </c>
      <c r="L289">
        <v>6.69</v>
      </c>
      <c r="M289" s="25">
        <v>0.1661</v>
      </c>
      <c r="N289" s="25">
        <v>0.1192</v>
      </c>
      <c r="O289">
        <v>2.56</v>
      </c>
      <c r="P289" s="25">
        <v>0.17610000000000001</v>
      </c>
      <c r="Q289" s="25">
        <v>0.19439999999999999</v>
      </c>
      <c r="R289" s="26">
        <v>113639</v>
      </c>
      <c r="S289" s="26">
        <v>635559000</v>
      </c>
      <c r="T289">
        <v>0.55000000000000004</v>
      </c>
      <c r="U289" s="25">
        <v>5.8299999999999998E-2</v>
      </c>
    </row>
    <row r="290" spans="1:21" x14ac:dyDescent="0.25">
      <c r="A290" t="s">
        <v>245</v>
      </c>
      <c r="B290">
        <v>0.49</v>
      </c>
      <c r="C290">
        <v>0.01</v>
      </c>
      <c r="D290">
        <v>-0.01</v>
      </c>
      <c r="E290">
        <v>9.8000000000000004E-2</v>
      </c>
      <c r="F290" s="25">
        <v>0</v>
      </c>
      <c r="G290">
        <v>8.0000000000000002E-3</v>
      </c>
      <c r="H290">
        <v>-7.0000000000000007E-2</v>
      </c>
      <c r="I290">
        <v>-0.06</v>
      </c>
      <c r="J290">
        <v>-0.01</v>
      </c>
      <c r="K290">
        <v>-3.57</v>
      </c>
      <c r="L290">
        <v>-4.84</v>
      </c>
      <c r="M290" s="25">
        <v>-1.6903999999999999</v>
      </c>
      <c r="N290" s="25">
        <v>8.4742999999999995</v>
      </c>
      <c r="O290">
        <v>0.7</v>
      </c>
      <c r="P290" s="25">
        <v>-0.18210000000000001</v>
      </c>
      <c r="Q290" s="25">
        <v>-0.9587</v>
      </c>
      <c r="R290" s="26">
        <v>2392390</v>
      </c>
      <c r="S290" s="26">
        <v>-14660000000</v>
      </c>
      <c r="T290">
        <v>-0.77</v>
      </c>
      <c r="U290" s="25">
        <v>-0.25540000000000002</v>
      </c>
    </row>
    <row r="291" spans="1:21" x14ac:dyDescent="0.25">
      <c r="A291" t="s">
        <v>219</v>
      </c>
      <c r="B291">
        <v>8.02</v>
      </c>
      <c r="C291">
        <v>0.19</v>
      </c>
      <c r="D291">
        <v>-0.18</v>
      </c>
      <c r="E291">
        <v>1.5960000000000001</v>
      </c>
      <c r="F291" s="25">
        <v>0</v>
      </c>
      <c r="G291">
        <v>0.13500000000000001</v>
      </c>
      <c r="H291">
        <v>-1.1499999999999999</v>
      </c>
      <c r="I291">
        <v>-0.94</v>
      </c>
      <c r="J291">
        <v>-0.09</v>
      </c>
      <c r="K291">
        <v>-4.46</v>
      </c>
      <c r="L291">
        <v>-6.04</v>
      </c>
      <c r="M291" s="25">
        <v>-1.6903999999999999</v>
      </c>
      <c r="N291" s="25">
        <v>8.4742999999999995</v>
      </c>
      <c r="O291">
        <v>0.7</v>
      </c>
      <c r="P291" s="25">
        <v>-0.18210000000000001</v>
      </c>
      <c r="Q291" s="25">
        <v>-0.9587</v>
      </c>
      <c r="R291" s="26">
        <v>282899</v>
      </c>
      <c r="S291" s="26">
        <v>-14660000000</v>
      </c>
      <c r="T291">
        <v>-0.77</v>
      </c>
      <c r="U291" s="25">
        <v>-0.25540000000000002</v>
      </c>
    </row>
    <row r="292" spans="1:21" x14ac:dyDescent="0.25">
      <c r="A292" t="s">
        <v>208</v>
      </c>
      <c r="B292">
        <v>5.45</v>
      </c>
      <c r="C292">
        <v>-4.43</v>
      </c>
      <c r="D292">
        <v>1.19</v>
      </c>
      <c r="E292">
        <v>0.56699999999999995</v>
      </c>
      <c r="F292" s="25">
        <v>0</v>
      </c>
      <c r="G292">
        <v>0.32800000000000001</v>
      </c>
      <c r="H292">
        <v>1.89</v>
      </c>
      <c r="I292">
        <v>6.44</v>
      </c>
      <c r="J292">
        <v>-1.05</v>
      </c>
      <c r="K292">
        <v>13.36</v>
      </c>
      <c r="L292">
        <v>8.33</v>
      </c>
      <c r="M292" s="25">
        <v>8.8099999999999998E-2</v>
      </c>
      <c r="N292" s="25">
        <v>-0.13880000000000001</v>
      </c>
      <c r="O292">
        <v>1.81</v>
      </c>
      <c r="P292" s="25">
        <v>6.7299999999999999E-2</v>
      </c>
      <c r="Q292" s="25">
        <v>-0.26779999999999998</v>
      </c>
      <c r="R292" s="26">
        <v>9014340</v>
      </c>
      <c r="S292" s="26">
        <v>2995770000</v>
      </c>
      <c r="T292">
        <v>1.82</v>
      </c>
      <c r="U292" s="25">
        <v>0.28739999999999999</v>
      </c>
    </row>
    <row r="293" spans="1:21" x14ac:dyDescent="0.25">
      <c r="A293" t="s">
        <v>123</v>
      </c>
      <c r="B293">
        <v>6.37</v>
      </c>
      <c r="C293">
        <v>-55.19</v>
      </c>
      <c r="D293">
        <v>1.35</v>
      </c>
      <c r="E293">
        <v>0.754</v>
      </c>
      <c r="F293" s="25">
        <v>0</v>
      </c>
      <c r="G293">
        <v>0.437</v>
      </c>
      <c r="H293">
        <v>3.32</v>
      </c>
      <c r="I293">
        <v>5.54</v>
      </c>
      <c r="J293">
        <v>-1.25</v>
      </c>
      <c r="K293">
        <v>10.79</v>
      </c>
      <c r="L293">
        <v>4.9400000000000004</v>
      </c>
      <c r="M293" s="25">
        <v>0.13600000000000001</v>
      </c>
      <c r="N293" s="25">
        <v>-1.37E-2</v>
      </c>
      <c r="O293">
        <v>1.67</v>
      </c>
      <c r="P293" s="25">
        <v>9.5699999999999993E-2</v>
      </c>
      <c r="Q293" s="25">
        <v>-2.4400000000000002E-2</v>
      </c>
      <c r="R293" s="26">
        <v>2467750</v>
      </c>
      <c r="S293" s="26">
        <v>944915000</v>
      </c>
      <c r="T293">
        <v>1.72</v>
      </c>
      <c r="U293" s="25">
        <v>0.28570000000000001</v>
      </c>
    </row>
    <row r="294" spans="1:21" x14ac:dyDescent="0.25">
      <c r="A294" t="s">
        <v>72</v>
      </c>
      <c r="B294">
        <v>48.24</v>
      </c>
      <c r="C294">
        <v>159.72999999999999</v>
      </c>
      <c r="D294">
        <v>6.01</v>
      </c>
      <c r="E294">
        <v>4.9589999999999996</v>
      </c>
      <c r="F294" s="25">
        <v>0</v>
      </c>
      <c r="G294">
        <v>1.369</v>
      </c>
      <c r="H294">
        <v>10.92</v>
      </c>
      <c r="I294">
        <v>18.68</v>
      </c>
      <c r="J294">
        <v>-2.84</v>
      </c>
      <c r="K294">
        <v>24.81</v>
      </c>
      <c r="L294">
        <v>14.7</v>
      </c>
      <c r="M294" s="25">
        <v>0.26540000000000002</v>
      </c>
      <c r="N294" s="25">
        <v>4.36E-2</v>
      </c>
      <c r="O294">
        <v>1.93</v>
      </c>
      <c r="P294" s="25">
        <v>8.6599999999999996E-2</v>
      </c>
      <c r="Q294" s="25">
        <v>3.7600000000000001E-2</v>
      </c>
      <c r="R294" s="26">
        <v>21450400</v>
      </c>
      <c r="S294" s="26">
        <v>771834000</v>
      </c>
      <c r="T294">
        <v>2.5</v>
      </c>
      <c r="U294" s="25">
        <v>0.26319999999999999</v>
      </c>
    </row>
    <row r="295" spans="1:21" x14ac:dyDescent="0.25">
      <c r="A295" t="s">
        <v>429</v>
      </c>
      <c r="B295">
        <v>2.66</v>
      </c>
      <c r="C295">
        <v>-0.01</v>
      </c>
      <c r="D295">
        <v>0</v>
      </c>
      <c r="E295">
        <v>0.121</v>
      </c>
      <c r="F295" s="25">
        <v>0</v>
      </c>
      <c r="G295">
        <v>6.0000000000000001E-3</v>
      </c>
      <c r="H295">
        <v>-0.01</v>
      </c>
      <c r="I295">
        <v>-0.11</v>
      </c>
      <c r="J295">
        <v>0</v>
      </c>
      <c r="K295">
        <v>-89.73</v>
      </c>
      <c r="L295">
        <v>-108.44</v>
      </c>
      <c r="M295" s="25">
        <v>-1.1141000000000001</v>
      </c>
      <c r="N295" s="25">
        <v>-23.5822</v>
      </c>
      <c r="O295">
        <v>0.01</v>
      </c>
      <c r="P295" s="25">
        <v>-5.57E-2</v>
      </c>
      <c r="Q295" s="25">
        <v>0.18410000000000001</v>
      </c>
      <c r="R295" s="26">
        <v>5832.45</v>
      </c>
      <c r="S295" s="26">
        <v>-8625440000</v>
      </c>
      <c r="T295">
        <v>-0.8</v>
      </c>
      <c r="U295" s="25">
        <v>0.48499999999999999</v>
      </c>
    </row>
    <row r="296" spans="1:21" x14ac:dyDescent="0.25">
      <c r="A296" t="s">
        <v>430</v>
      </c>
      <c r="B296">
        <v>39.979999999999997</v>
      </c>
      <c r="C296">
        <v>11.01</v>
      </c>
      <c r="D296">
        <v>1.22</v>
      </c>
      <c r="E296">
        <v>0.439</v>
      </c>
      <c r="F296" s="25">
        <v>0.17960000000000001</v>
      </c>
      <c r="G296">
        <v>0.59299999999999997</v>
      </c>
      <c r="H296">
        <v>1.48</v>
      </c>
      <c r="I296">
        <v>7.81</v>
      </c>
      <c r="J296">
        <v>2.64</v>
      </c>
      <c r="K296">
        <v>8.1999999999999993</v>
      </c>
      <c r="L296">
        <v>7.3</v>
      </c>
      <c r="M296" s="25">
        <v>5.62E-2</v>
      </c>
      <c r="N296" s="25">
        <v>3.9899999999999998E-2</v>
      </c>
      <c r="O296">
        <v>2.2000000000000002</v>
      </c>
      <c r="P296" s="25">
        <v>0.13750000000000001</v>
      </c>
      <c r="Q296" s="25">
        <v>0.1105</v>
      </c>
      <c r="R296" s="26">
        <v>5193.4799999999996</v>
      </c>
      <c r="S296" s="26">
        <v>786260000</v>
      </c>
      <c r="T296">
        <v>0.59</v>
      </c>
      <c r="U296" s="25">
        <v>4.5999999999999999E-3</v>
      </c>
    </row>
    <row r="297" spans="1:21" x14ac:dyDescent="0.25">
      <c r="A297" t="s">
        <v>431</v>
      </c>
      <c r="B297">
        <v>31.51</v>
      </c>
      <c r="C297">
        <v>8.68</v>
      </c>
      <c r="D297">
        <v>0.96</v>
      </c>
      <c r="E297">
        <v>0.34599999999999997</v>
      </c>
      <c r="F297" s="25">
        <v>0.26240000000000002</v>
      </c>
      <c r="G297">
        <v>0.46800000000000003</v>
      </c>
      <c r="H297">
        <v>1.1599999999999999</v>
      </c>
      <c r="I297">
        <v>6.16</v>
      </c>
      <c r="J297">
        <v>2.08</v>
      </c>
      <c r="K297">
        <v>6.55</v>
      </c>
      <c r="L297">
        <v>5.82</v>
      </c>
      <c r="M297" s="25">
        <v>5.62E-2</v>
      </c>
      <c r="N297" s="25">
        <v>3.9899999999999998E-2</v>
      </c>
      <c r="O297">
        <v>2.2000000000000002</v>
      </c>
      <c r="P297" s="25">
        <v>0.13750000000000001</v>
      </c>
      <c r="Q297" s="25">
        <v>0.1105</v>
      </c>
      <c r="R297" s="26">
        <v>3001.24</v>
      </c>
      <c r="S297" s="26">
        <v>786260000</v>
      </c>
      <c r="T297">
        <v>0.59</v>
      </c>
      <c r="U297" s="25">
        <v>4.5999999999999999E-3</v>
      </c>
    </row>
    <row r="298" spans="1:21" x14ac:dyDescent="0.25">
      <c r="A298" t="s">
        <v>225</v>
      </c>
      <c r="B298">
        <v>3.44</v>
      </c>
      <c r="C298">
        <v>-0.88</v>
      </c>
      <c r="D298">
        <v>0.61</v>
      </c>
      <c r="E298">
        <v>8.8999999999999996E-2</v>
      </c>
      <c r="F298" s="25">
        <v>0</v>
      </c>
      <c r="G298">
        <v>8.6999999999999994E-2</v>
      </c>
      <c r="H298">
        <v>-12.68</v>
      </c>
      <c r="I298">
        <v>1.1100000000000001</v>
      </c>
      <c r="J298">
        <v>-0.15</v>
      </c>
      <c r="K298">
        <v>2.67</v>
      </c>
      <c r="L298">
        <v>1.52</v>
      </c>
      <c r="M298" s="25">
        <v>8.0299999999999996E-2</v>
      </c>
      <c r="N298" s="25">
        <v>-0.1008</v>
      </c>
      <c r="O298">
        <v>0.98</v>
      </c>
      <c r="P298" s="25">
        <v>0.10539999999999999</v>
      </c>
      <c r="Q298" s="25">
        <v>-0.69320000000000004</v>
      </c>
      <c r="R298" s="26">
        <v>29217200</v>
      </c>
      <c r="S298" s="26">
        <v>2764000000</v>
      </c>
      <c r="T298">
        <v>1.65</v>
      </c>
      <c r="U298" s="25">
        <v>-0.2298</v>
      </c>
    </row>
    <row r="299" spans="1:21" x14ac:dyDescent="0.25">
      <c r="A299" t="s">
        <v>193</v>
      </c>
      <c r="B299">
        <v>0.22</v>
      </c>
      <c r="C299">
        <v>-0.01</v>
      </c>
      <c r="D299">
        <v>0</v>
      </c>
      <c r="E299">
        <v>4.7E-2</v>
      </c>
      <c r="F299" s="25">
        <v>0</v>
      </c>
      <c r="G299">
        <v>1.2E-2</v>
      </c>
      <c r="H299">
        <v>-0.01</v>
      </c>
      <c r="I299">
        <v>-0.09</v>
      </c>
      <c r="J299">
        <v>0</v>
      </c>
      <c r="K299">
        <v>-2.58</v>
      </c>
      <c r="L299">
        <v>-2.59</v>
      </c>
      <c r="M299" s="25">
        <v>-0.53349999999999997</v>
      </c>
      <c r="N299" s="25">
        <v>-3.3603000000000001</v>
      </c>
      <c r="O299">
        <v>0.32</v>
      </c>
      <c r="P299" s="25">
        <v>-0.32540000000000002</v>
      </c>
      <c r="Q299" s="25">
        <v>0.13800000000000001</v>
      </c>
      <c r="R299" s="26">
        <v>680444</v>
      </c>
      <c r="S299" s="26">
        <v>-3363560000</v>
      </c>
      <c r="T299">
        <v>-0.06</v>
      </c>
      <c r="U299" s="25">
        <v>-0.22470000000000001</v>
      </c>
    </row>
    <row r="300" spans="1:21" x14ac:dyDescent="0.25">
      <c r="A300" t="s">
        <v>432</v>
      </c>
      <c r="B300">
        <v>1.02</v>
      </c>
      <c r="C300">
        <v>-6.07</v>
      </c>
      <c r="D300">
        <v>0.66</v>
      </c>
      <c r="E300">
        <v>0.25900000000000001</v>
      </c>
      <c r="F300" s="25">
        <v>0</v>
      </c>
      <c r="G300">
        <v>0.11799999999999999</v>
      </c>
      <c r="H300">
        <v>0.3</v>
      </c>
      <c r="I300">
        <v>8.77</v>
      </c>
      <c r="J300">
        <v>-0.8</v>
      </c>
      <c r="K300">
        <v>30.2</v>
      </c>
      <c r="L300">
        <v>8.43</v>
      </c>
      <c r="M300" s="25">
        <v>2.9499999999999998E-2</v>
      </c>
      <c r="N300" s="25">
        <v>-4.2700000000000002E-2</v>
      </c>
      <c r="O300">
        <v>2.4</v>
      </c>
      <c r="P300" s="25">
        <v>1.83E-2</v>
      </c>
      <c r="Q300" s="25">
        <v>-0.10829999999999999</v>
      </c>
      <c r="R300" s="26">
        <v>38597</v>
      </c>
      <c r="S300" s="26">
        <v>123253000</v>
      </c>
      <c r="T300">
        <v>2.72</v>
      </c>
      <c r="U300" s="25">
        <v>-8.3299999999999999E-2</v>
      </c>
    </row>
    <row r="301" spans="1:21" x14ac:dyDescent="0.25">
      <c r="A301" t="s">
        <v>433</v>
      </c>
      <c r="B301">
        <v>40.299999999999997</v>
      </c>
      <c r="C301">
        <v>21.24</v>
      </c>
      <c r="D301">
        <v>0.85</v>
      </c>
      <c r="E301">
        <v>7.8289999999999997</v>
      </c>
      <c r="F301" s="25">
        <v>2.06E-2</v>
      </c>
      <c r="G301">
        <v>0.58899999999999997</v>
      </c>
      <c r="H301">
        <v>3.43</v>
      </c>
      <c r="I301">
        <v>-42.52</v>
      </c>
      <c r="J301">
        <v>-6.13</v>
      </c>
      <c r="K301">
        <v>-39.630000000000003</v>
      </c>
      <c r="L301">
        <v>-224.09</v>
      </c>
      <c r="M301" s="25">
        <v>-0.18410000000000001</v>
      </c>
      <c r="N301" s="25">
        <v>0.36859999999999998</v>
      </c>
      <c r="O301">
        <v>5.51</v>
      </c>
      <c r="P301" s="25">
        <v>-1.67E-2</v>
      </c>
      <c r="Q301" s="25">
        <v>3.9899999999999998E-2</v>
      </c>
      <c r="R301" s="26">
        <v>13713.7</v>
      </c>
      <c r="S301" s="26">
        <v>898730000</v>
      </c>
      <c r="T301">
        <v>0.18</v>
      </c>
      <c r="U301" s="25">
        <v>5.8700000000000002E-2</v>
      </c>
    </row>
    <row r="302" spans="1:21" x14ac:dyDescent="0.25">
      <c r="A302" t="s">
        <v>434</v>
      </c>
      <c r="B302">
        <v>38</v>
      </c>
      <c r="C302">
        <v>20.03</v>
      </c>
      <c r="D302">
        <v>0.8</v>
      </c>
      <c r="E302">
        <v>7.3819999999999997</v>
      </c>
      <c r="F302" s="25">
        <v>2.2800000000000001E-2</v>
      </c>
      <c r="G302">
        <v>0.55500000000000005</v>
      </c>
      <c r="H302">
        <v>3.24</v>
      </c>
      <c r="I302">
        <v>-40.1</v>
      </c>
      <c r="J302">
        <v>-5.78</v>
      </c>
      <c r="K302">
        <v>-37.200000000000003</v>
      </c>
      <c r="L302">
        <v>-210.37</v>
      </c>
      <c r="M302" s="25">
        <v>-0.18410000000000001</v>
      </c>
      <c r="N302" s="25">
        <v>0.36859999999999998</v>
      </c>
      <c r="O302">
        <v>5.51</v>
      </c>
      <c r="P302" s="25">
        <v>-1.67E-2</v>
      </c>
      <c r="Q302" s="25">
        <v>3.9899999999999998E-2</v>
      </c>
      <c r="R302" s="26">
        <v>4129</v>
      </c>
      <c r="S302" s="26">
        <v>898730000</v>
      </c>
      <c r="T302">
        <v>0.18</v>
      </c>
      <c r="U302" s="25">
        <v>5.8700000000000002E-2</v>
      </c>
    </row>
    <row r="303" spans="1:21" x14ac:dyDescent="0.25">
      <c r="A303" t="s">
        <v>94</v>
      </c>
      <c r="B303">
        <v>34.840000000000003</v>
      </c>
      <c r="C303">
        <v>9.33</v>
      </c>
      <c r="D303">
        <v>1.1299999999999999</v>
      </c>
      <c r="E303">
        <v>0.90500000000000003</v>
      </c>
      <c r="F303" s="25">
        <v>0.16070000000000001</v>
      </c>
      <c r="G303">
        <v>0.39100000000000001</v>
      </c>
      <c r="H303">
        <v>-9.17</v>
      </c>
      <c r="I303">
        <v>2.14</v>
      </c>
      <c r="J303">
        <v>-0.72</v>
      </c>
      <c r="K303">
        <v>3.69</v>
      </c>
      <c r="L303">
        <v>2.77</v>
      </c>
      <c r="M303" s="25">
        <v>0.42370000000000002</v>
      </c>
      <c r="N303" s="25">
        <v>9.7799999999999998E-2</v>
      </c>
      <c r="O303">
        <v>0.72</v>
      </c>
      <c r="P303" s="25">
        <v>0.1961</v>
      </c>
      <c r="Q303" s="25">
        <v>0.1216</v>
      </c>
      <c r="R303" s="26">
        <v>350100000</v>
      </c>
      <c r="S303" s="26">
        <v>395841000000</v>
      </c>
      <c r="T303">
        <v>0.94</v>
      </c>
      <c r="U303" s="25">
        <v>0.11509999999999999</v>
      </c>
    </row>
    <row r="304" spans="1:21" x14ac:dyDescent="0.25">
      <c r="A304" t="s">
        <v>15</v>
      </c>
      <c r="B304">
        <v>31.99</v>
      </c>
      <c r="C304">
        <v>8.57</v>
      </c>
      <c r="D304">
        <v>1.04</v>
      </c>
      <c r="E304">
        <v>0.83099999999999996</v>
      </c>
      <c r="F304" s="25">
        <v>0.17499999999999999</v>
      </c>
      <c r="G304">
        <v>0.35899999999999999</v>
      </c>
      <c r="H304">
        <v>-8.42</v>
      </c>
      <c r="I304">
        <v>1.96</v>
      </c>
      <c r="J304">
        <v>-0.66</v>
      </c>
      <c r="K304">
        <v>3.51</v>
      </c>
      <c r="L304">
        <v>2.64</v>
      </c>
      <c r="M304" s="25">
        <v>0.42370000000000002</v>
      </c>
      <c r="N304" s="25">
        <v>9.7799999999999998E-2</v>
      </c>
      <c r="O304">
        <v>0.72</v>
      </c>
      <c r="P304" s="25">
        <v>0.1961</v>
      </c>
      <c r="Q304" s="25">
        <v>0.1216</v>
      </c>
      <c r="R304" s="26">
        <v>1080610000</v>
      </c>
      <c r="S304" s="26">
        <v>395841000000</v>
      </c>
      <c r="T304">
        <v>0.94</v>
      </c>
      <c r="U304" s="25">
        <v>0.11509999999999999</v>
      </c>
    </row>
    <row r="305" spans="1:21" x14ac:dyDescent="0.25">
      <c r="A305" t="s">
        <v>204</v>
      </c>
      <c r="B305">
        <v>3.99</v>
      </c>
      <c r="C305">
        <v>-45.34</v>
      </c>
      <c r="D305">
        <v>1.1100000000000001</v>
      </c>
      <c r="E305">
        <v>0.54600000000000004</v>
      </c>
      <c r="F305" s="25">
        <v>7.22E-2</v>
      </c>
      <c r="G305">
        <v>0.47799999999999998</v>
      </c>
      <c r="H305">
        <v>3.32</v>
      </c>
      <c r="I305">
        <v>10.59</v>
      </c>
      <c r="J305">
        <v>-2.21</v>
      </c>
      <c r="K305">
        <v>11.13</v>
      </c>
      <c r="L305">
        <v>3.71</v>
      </c>
      <c r="M305" s="25">
        <v>5.1499999999999997E-2</v>
      </c>
      <c r="N305" s="25">
        <v>-1.2E-2</v>
      </c>
      <c r="O305">
        <v>1.68</v>
      </c>
      <c r="P305" s="25">
        <v>5.5800000000000002E-2</v>
      </c>
      <c r="Q305" s="25">
        <v>-2.4500000000000001E-2</v>
      </c>
      <c r="R305" s="26">
        <v>29938800</v>
      </c>
      <c r="S305" s="26">
        <v>1658800000</v>
      </c>
      <c r="T305">
        <v>0.27</v>
      </c>
      <c r="U305" s="25">
        <v>0.20250000000000001</v>
      </c>
    </row>
    <row r="306" spans="1:21" x14ac:dyDescent="0.25">
      <c r="A306" t="s">
        <v>80</v>
      </c>
      <c r="B306">
        <v>8.08</v>
      </c>
      <c r="C306">
        <v>8.0299999999999994</v>
      </c>
      <c r="D306">
        <v>0.76</v>
      </c>
      <c r="E306">
        <v>9.4E-2</v>
      </c>
      <c r="F306" s="25">
        <v>7.1199999999999999E-2</v>
      </c>
      <c r="G306">
        <v>0.17299999999999999</v>
      </c>
      <c r="H306">
        <v>1.0900000000000001</v>
      </c>
      <c r="I306">
        <v>3.25</v>
      </c>
      <c r="J306">
        <v>-62.46</v>
      </c>
      <c r="K306">
        <v>5.46</v>
      </c>
      <c r="L306">
        <v>3.47</v>
      </c>
      <c r="M306" s="25">
        <v>2.9000000000000001E-2</v>
      </c>
      <c r="N306" s="25">
        <v>1.2500000000000001E-2</v>
      </c>
      <c r="O306">
        <v>1.28</v>
      </c>
      <c r="P306" s="25">
        <v>9.6100000000000005E-2</v>
      </c>
      <c r="Q306" s="25">
        <v>9.4700000000000006E-2</v>
      </c>
      <c r="R306" s="26">
        <v>1472670</v>
      </c>
      <c r="S306" s="26">
        <v>1315040000</v>
      </c>
      <c r="T306">
        <v>0.72</v>
      </c>
      <c r="U306" s="25">
        <v>0.17050000000000001</v>
      </c>
    </row>
    <row r="307" spans="1:21" x14ac:dyDescent="0.25">
      <c r="A307" t="s">
        <v>153</v>
      </c>
      <c r="B307">
        <v>3.55</v>
      </c>
      <c r="C307">
        <v>15.25</v>
      </c>
      <c r="D307">
        <v>0.81</v>
      </c>
      <c r="E307">
        <v>0.16800000000000001</v>
      </c>
      <c r="F307" s="25">
        <v>6.5100000000000005E-2</v>
      </c>
      <c r="G307">
        <v>0.255</v>
      </c>
      <c r="H307">
        <v>1.73</v>
      </c>
      <c r="I307">
        <v>3.57</v>
      </c>
      <c r="J307">
        <v>-1.44</v>
      </c>
      <c r="K307">
        <v>5.66</v>
      </c>
      <c r="L307">
        <v>3.08</v>
      </c>
      <c r="M307" s="25">
        <v>4.7199999999999999E-2</v>
      </c>
      <c r="N307" s="25">
        <v>1.11E-2</v>
      </c>
      <c r="O307">
        <v>1.41</v>
      </c>
      <c r="P307" s="25">
        <v>9.5000000000000001E-2</v>
      </c>
      <c r="Q307" s="25">
        <v>5.3199999999999997E-2</v>
      </c>
      <c r="R307" s="26">
        <v>2989680</v>
      </c>
      <c r="S307" s="26">
        <v>2722920000</v>
      </c>
      <c r="T307">
        <v>0.52</v>
      </c>
      <c r="U307" s="25">
        <v>0.1807</v>
      </c>
    </row>
    <row r="308" spans="1:21" x14ac:dyDescent="0.25">
      <c r="A308" t="s">
        <v>435</v>
      </c>
      <c r="B308">
        <v>5.87</v>
      </c>
      <c r="C308">
        <v>4.95</v>
      </c>
      <c r="D308">
        <v>1.18</v>
      </c>
      <c r="E308">
        <v>0</v>
      </c>
      <c r="F308" s="25">
        <v>0</v>
      </c>
      <c r="G308">
        <v>0</v>
      </c>
      <c r="H308">
        <v>0</v>
      </c>
      <c r="I308">
        <v>0</v>
      </c>
      <c r="J308">
        <v>0</v>
      </c>
      <c r="K308">
        <v>0</v>
      </c>
      <c r="L308">
        <v>0</v>
      </c>
      <c r="M308" s="25">
        <v>0</v>
      </c>
      <c r="N308" s="25">
        <v>0</v>
      </c>
      <c r="O308">
        <v>0</v>
      </c>
      <c r="P308" s="25">
        <v>0</v>
      </c>
      <c r="Q308" s="25">
        <v>0.2392</v>
      </c>
      <c r="R308" s="26">
        <v>24092.3</v>
      </c>
      <c r="S308" s="26">
        <v>1123630000</v>
      </c>
      <c r="T308">
        <v>0</v>
      </c>
      <c r="U308" s="25">
        <v>0.49669999999999997</v>
      </c>
    </row>
    <row r="309" spans="1:21" x14ac:dyDescent="0.25">
      <c r="A309" t="s">
        <v>39</v>
      </c>
      <c r="B309">
        <v>5.87</v>
      </c>
      <c r="C309">
        <v>4.95</v>
      </c>
      <c r="D309">
        <v>1.18</v>
      </c>
      <c r="E309">
        <v>0</v>
      </c>
      <c r="F309" s="25">
        <v>9.0200000000000002E-2</v>
      </c>
      <c r="G309">
        <v>0</v>
      </c>
      <c r="H309" s="26">
        <v>0</v>
      </c>
      <c r="I309">
        <v>0</v>
      </c>
      <c r="J309">
        <v>0</v>
      </c>
      <c r="K309">
        <v>0</v>
      </c>
      <c r="L309">
        <v>0</v>
      </c>
      <c r="M309" s="25">
        <v>0</v>
      </c>
      <c r="N309" s="25">
        <v>0</v>
      </c>
      <c r="O309">
        <v>0</v>
      </c>
      <c r="P309" s="25">
        <v>0</v>
      </c>
      <c r="Q309" s="25">
        <v>0.2392</v>
      </c>
      <c r="R309" s="26">
        <v>1421880</v>
      </c>
      <c r="S309" s="26">
        <v>1123630000</v>
      </c>
      <c r="T309">
        <v>0</v>
      </c>
      <c r="U309" s="25">
        <v>0.49669999999999997</v>
      </c>
    </row>
    <row r="310" spans="1:21" x14ac:dyDescent="0.25">
      <c r="A310" t="s">
        <v>436</v>
      </c>
      <c r="B310">
        <v>5.15</v>
      </c>
      <c r="C310">
        <v>-0.46</v>
      </c>
      <c r="D310">
        <v>-0.11</v>
      </c>
      <c r="E310">
        <v>5.6000000000000001E-2</v>
      </c>
      <c r="F310" s="25">
        <v>0</v>
      </c>
      <c r="G310">
        <v>0.10100000000000001</v>
      </c>
      <c r="H310">
        <v>-0.2</v>
      </c>
      <c r="I310">
        <v>-6.02</v>
      </c>
      <c r="J310">
        <v>-0.06</v>
      </c>
      <c r="K310">
        <v>-33.369999999999997</v>
      </c>
      <c r="L310">
        <v>7.4</v>
      </c>
      <c r="M310" s="25">
        <v>-9.2999999999999992E-3</v>
      </c>
      <c r="N310" s="25">
        <v>-0.1202</v>
      </c>
      <c r="O310">
        <v>0.39</v>
      </c>
      <c r="P310" s="25">
        <v>-2.01E-2</v>
      </c>
      <c r="Q310" s="25">
        <v>0.2389</v>
      </c>
      <c r="R310" s="26">
        <v>800.69</v>
      </c>
      <c r="S310" s="26">
        <v>-577159000</v>
      </c>
      <c r="T310">
        <v>-0.54</v>
      </c>
      <c r="U310" s="25">
        <v>0.27039999999999997</v>
      </c>
    </row>
    <row r="311" spans="1:21" x14ac:dyDescent="0.25">
      <c r="A311" t="s">
        <v>437</v>
      </c>
      <c r="B311">
        <v>13.49</v>
      </c>
      <c r="C311">
        <v>7.45</v>
      </c>
      <c r="D311">
        <v>3.43</v>
      </c>
      <c r="E311">
        <v>1.02</v>
      </c>
      <c r="F311" s="25">
        <v>7.46E-2</v>
      </c>
      <c r="G311">
        <v>1.1000000000000001</v>
      </c>
      <c r="H311">
        <v>1.91</v>
      </c>
      <c r="I311">
        <v>3.77</v>
      </c>
      <c r="J311">
        <v>5.67</v>
      </c>
      <c r="K311">
        <v>3.95</v>
      </c>
      <c r="L311">
        <v>3.84</v>
      </c>
      <c r="M311" s="25">
        <v>0.27060000000000001</v>
      </c>
      <c r="N311" s="25">
        <v>0.15640000000000001</v>
      </c>
      <c r="O311">
        <v>3.12</v>
      </c>
      <c r="P311" s="25">
        <v>0.45750000000000002</v>
      </c>
      <c r="Q311" s="25">
        <v>0.4607</v>
      </c>
      <c r="R311" s="26">
        <v>13864400</v>
      </c>
      <c r="S311" s="26">
        <v>801581000</v>
      </c>
      <c r="T311">
        <v>0.75</v>
      </c>
      <c r="U311" s="25">
        <v>0.2828</v>
      </c>
    </row>
    <row r="312" spans="1:21" x14ac:dyDescent="0.25">
      <c r="A312" t="s">
        <v>260</v>
      </c>
      <c r="B312">
        <v>1.65</v>
      </c>
      <c r="C312">
        <v>-7.0000000000000007E-2</v>
      </c>
      <c r="D312">
        <v>-0.02</v>
      </c>
      <c r="E312">
        <v>0.25600000000000001</v>
      </c>
      <c r="F312" s="25">
        <v>0</v>
      </c>
      <c r="G312">
        <v>8.4000000000000005E-2</v>
      </c>
      <c r="H312">
        <v>-0.02</v>
      </c>
      <c r="I312">
        <v>-0.54</v>
      </c>
      <c r="J312">
        <v>-0.02</v>
      </c>
      <c r="K312">
        <v>-21.61</v>
      </c>
      <c r="L312">
        <v>-32.9</v>
      </c>
      <c r="M312" s="25">
        <v>-0.4743</v>
      </c>
      <c r="N312" s="25">
        <v>-3.7662</v>
      </c>
      <c r="O312">
        <v>0.06</v>
      </c>
      <c r="P312" s="25">
        <v>-0.28239999999999998</v>
      </c>
      <c r="Q312" s="25">
        <v>0.30370000000000003</v>
      </c>
      <c r="R312" s="26">
        <v>739903</v>
      </c>
      <c r="S312" s="26">
        <v>-6411200000</v>
      </c>
      <c r="T312">
        <v>-0.81</v>
      </c>
      <c r="U312" s="25">
        <v>-0.47</v>
      </c>
    </row>
    <row r="313" spans="1:21" x14ac:dyDescent="0.25">
      <c r="A313" t="s">
        <v>145</v>
      </c>
      <c r="B313">
        <v>9.2799999999999994</v>
      </c>
      <c r="C313">
        <v>14.32</v>
      </c>
      <c r="D313">
        <v>1.1200000000000001</v>
      </c>
      <c r="E313">
        <v>0.28100000000000003</v>
      </c>
      <c r="F313" s="25">
        <v>3.9100000000000003E-2</v>
      </c>
      <c r="G313">
        <v>0.44</v>
      </c>
      <c r="H313">
        <v>1.65</v>
      </c>
      <c r="I313">
        <v>8.48</v>
      </c>
      <c r="J313">
        <v>-9.9</v>
      </c>
      <c r="K313">
        <v>14.67</v>
      </c>
      <c r="L313">
        <v>6.35</v>
      </c>
      <c r="M313" s="25">
        <v>3.3099999999999997E-2</v>
      </c>
      <c r="N313" s="25">
        <v>1.9599999999999999E-2</v>
      </c>
      <c r="O313">
        <v>1.9</v>
      </c>
      <c r="P313" s="25">
        <v>6.5500000000000003E-2</v>
      </c>
      <c r="Q313" s="25">
        <v>7.8200000000000006E-2</v>
      </c>
      <c r="R313" s="26">
        <v>4079320</v>
      </c>
      <c r="S313" s="26">
        <v>1245830000</v>
      </c>
      <c r="T313">
        <v>0.98</v>
      </c>
      <c r="U313" s="25">
        <v>0.1522</v>
      </c>
    </row>
    <row r="314" spans="1:21" x14ac:dyDescent="0.25">
      <c r="A314" t="s">
        <v>24</v>
      </c>
      <c r="B314">
        <v>6.65</v>
      </c>
      <c r="C314">
        <v>6.67</v>
      </c>
      <c r="D314">
        <v>1.91</v>
      </c>
      <c r="E314">
        <v>0.877</v>
      </c>
      <c r="F314" s="25">
        <v>8.6499999999999994E-2</v>
      </c>
      <c r="G314">
        <v>0.84099999999999997</v>
      </c>
      <c r="H314">
        <v>3.5</v>
      </c>
      <c r="I314">
        <v>5.6</v>
      </c>
      <c r="J314">
        <v>27.69</v>
      </c>
      <c r="K314">
        <v>6.59</v>
      </c>
      <c r="L314">
        <v>5.87</v>
      </c>
      <c r="M314" s="25">
        <v>0.15670000000000001</v>
      </c>
      <c r="N314" s="25">
        <v>0.1333</v>
      </c>
      <c r="O314">
        <v>1.7</v>
      </c>
      <c r="P314" s="25">
        <v>0.2054</v>
      </c>
      <c r="Q314" s="25">
        <v>0.28589999999999999</v>
      </c>
      <c r="R314" s="26">
        <v>1370680</v>
      </c>
      <c r="S314" s="26">
        <v>3960140000</v>
      </c>
      <c r="T314">
        <v>0.78</v>
      </c>
      <c r="U314" s="25">
        <v>0.2727</v>
      </c>
    </row>
    <row r="315" spans="1:21" x14ac:dyDescent="0.25">
      <c r="A315" t="s">
        <v>96</v>
      </c>
      <c r="B315">
        <v>8.3699999999999992</v>
      </c>
      <c r="C315">
        <v>8.4</v>
      </c>
      <c r="D315">
        <v>2.4</v>
      </c>
      <c r="E315">
        <v>1.1040000000000001</v>
      </c>
      <c r="F315" s="25">
        <v>6.8699999999999997E-2</v>
      </c>
      <c r="G315">
        <v>1.0589999999999999</v>
      </c>
      <c r="H315">
        <v>4.4000000000000004</v>
      </c>
      <c r="I315">
        <v>7.04</v>
      </c>
      <c r="J315">
        <v>34.85</v>
      </c>
      <c r="K315">
        <v>8.0399999999999991</v>
      </c>
      <c r="L315">
        <v>7.16</v>
      </c>
      <c r="M315" s="25">
        <v>0.15670000000000001</v>
      </c>
      <c r="N315" s="25">
        <v>0.1333</v>
      </c>
      <c r="O315">
        <v>1.7</v>
      </c>
      <c r="P315" s="25">
        <v>0.2054</v>
      </c>
      <c r="Q315" s="25">
        <v>0.28589999999999999</v>
      </c>
      <c r="R315" s="26">
        <v>68065600</v>
      </c>
      <c r="S315" s="26">
        <v>3960140000</v>
      </c>
      <c r="T315">
        <v>0.78</v>
      </c>
      <c r="U315" s="25">
        <v>0.2727</v>
      </c>
    </row>
    <row r="316" spans="1:21" x14ac:dyDescent="0.25">
      <c r="A316" t="s">
        <v>38</v>
      </c>
      <c r="B316">
        <v>17.670000000000002</v>
      </c>
      <c r="C316">
        <v>13.63</v>
      </c>
      <c r="D316">
        <v>2.84</v>
      </c>
      <c r="E316">
        <v>2.5529999999999999</v>
      </c>
      <c r="F316" s="25">
        <v>6.2799999999999995E-2</v>
      </c>
      <c r="G316">
        <v>1.1970000000000001</v>
      </c>
      <c r="H316">
        <v>57.87</v>
      </c>
      <c r="I316">
        <v>8.44</v>
      </c>
      <c r="J316">
        <v>-3.08</v>
      </c>
      <c r="K316">
        <v>10.74</v>
      </c>
      <c r="L316">
        <v>7.92</v>
      </c>
      <c r="M316" s="25">
        <v>0.30259999999999998</v>
      </c>
      <c r="N316" s="25">
        <v>0.18940000000000001</v>
      </c>
      <c r="O316">
        <v>1.1200000000000001</v>
      </c>
      <c r="P316" s="25">
        <v>0.16070000000000001</v>
      </c>
      <c r="Q316" s="25">
        <v>0.20810000000000001</v>
      </c>
      <c r="R316" s="26">
        <v>19269300</v>
      </c>
      <c r="S316" s="26">
        <v>2747140000</v>
      </c>
      <c r="T316">
        <v>0.99</v>
      </c>
      <c r="U316" s="25">
        <v>4.9299999999999997E-2</v>
      </c>
    </row>
    <row r="317" spans="1:21" x14ac:dyDescent="0.25">
      <c r="A317" t="s">
        <v>83</v>
      </c>
      <c r="B317">
        <v>4.3</v>
      </c>
      <c r="C317">
        <v>208.53</v>
      </c>
      <c r="D317">
        <v>0.38</v>
      </c>
      <c r="E317">
        <v>0.17899999999999999</v>
      </c>
      <c r="F317" s="25">
        <v>6.3700000000000007E-2</v>
      </c>
      <c r="G317">
        <v>0.14499999999999999</v>
      </c>
      <c r="H317">
        <v>0.44</v>
      </c>
      <c r="I317">
        <v>2.7</v>
      </c>
      <c r="J317">
        <v>3.65</v>
      </c>
      <c r="K317">
        <v>6.12</v>
      </c>
      <c r="L317">
        <v>4.78</v>
      </c>
      <c r="M317" s="25">
        <v>6.6199999999999995E-2</v>
      </c>
      <c r="N317" s="25">
        <v>2.3999999999999998E-3</v>
      </c>
      <c r="O317">
        <v>2.0299999999999998</v>
      </c>
      <c r="P317" s="25">
        <v>6.9900000000000004E-2</v>
      </c>
      <c r="Q317" s="25">
        <v>1.8E-3</v>
      </c>
      <c r="R317" s="26">
        <v>4346680</v>
      </c>
      <c r="S317" s="26">
        <v>1607650000</v>
      </c>
      <c r="T317">
        <v>0.77</v>
      </c>
      <c r="U317" s="25">
        <v>7.8299999999999995E-2</v>
      </c>
    </row>
    <row r="318" spans="1:21" x14ac:dyDescent="0.25">
      <c r="A318" t="s">
        <v>168</v>
      </c>
      <c r="B318">
        <v>42.47</v>
      </c>
      <c r="C318">
        <v>3.36</v>
      </c>
      <c r="D318">
        <v>1.43</v>
      </c>
      <c r="E318">
        <v>2.44</v>
      </c>
      <c r="F318" s="25">
        <v>0</v>
      </c>
      <c r="G318">
        <v>0.69499999999999995</v>
      </c>
      <c r="H318">
        <v>6.68</v>
      </c>
      <c r="I318">
        <v>6.21</v>
      </c>
      <c r="J318">
        <v>-1.91</v>
      </c>
      <c r="K318">
        <v>9.1300000000000008</v>
      </c>
      <c r="L318">
        <v>5.86</v>
      </c>
      <c r="M318" s="25">
        <v>0.39279999999999998</v>
      </c>
      <c r="N318" s="25">
        <v>0.72609999999999997</v>
      </c>
      <c r="O318">
        <v>3.19</v>
      </c>
      <c r="P318" s="25">
        <v>0.1234</v>
      </c>
      <c r="Q318" s="25">
        <v>0.42580000000000001</v>
      </c>
      <c r="R318" s="26">
        <v>387303000</v>
      </c>
      <c r="S318" s="26">
        <v>26603200000</v>
      </c>
      <c r="T318">
        <v>0.83</v>
      </c>
      <c r="U318" s="25">
        <v>0.59109999999999996</v>
      </c>
    </row>
    <row r="319" spans="1:21" x14ac:dyDescent="0.25">
      <c r="A319" t="s">
        <v>21</v>
      </c>
      <c r="B319">
        <v>15</v>
      </c>
      <c r="C319">
        <v>67.5</v>
      </c>
      <c r="D319">
        <v>2.04</v>
      </c>
      <c r="E319">
        <v>0.55900000000000005</v>
      </c>
      <c r="F319" s="25">
        <v>3.3999999999999998E-3</v>
      </c>
      <c r="G319">
        <v>0.496</v>
      </c>
      <c r="H319">
        <v>1.8</v>
      </c>
      <c r="I319">
        <v>7.19</v>
      </c>
      <c r="J319">
        <v>-2.72</v>
      </c>
      <c r="K319">
        <v>10.38</v>
      </c>
      <c r="L319">
        <v>6.58</v>
      </c>
      <c r="M319" s="25">
        <v>7.7799999999999994E-2</v>
      </c>
      <c r="N319" s="25">
        <v>2.3099999999999999E-2</v>
      </c>
      <c r="O319">
        <v>1.96</v>
      </c>
      <c r="P319" s="25">
        <v>9.6100000000000005E-2</v>
      </c>
      <c r="Q319" s="25">
        <v>3.0200000000000001E-2</v>
      </c>
      <c r="R319" s="26">
        <v>4697250</v>
      </c>
      <c r="S319" s="26">
        <v>343979000</v>
      </c>
      <c r="T319">
        <v>1.95</v>
      </c>
      <c r="U319" s="25">
        <v>0.48799999999999999</v>
      </c>
    </row>
    <row r="320" spans="1:21" x14ac:dyDescent="0.25">
      <c r="A320" t="s">
        <v>16</v>
      </c>
      <c r="B320">
        <v>52.1</v>
      </c>
      <c r="C320">
        <v>11.92</v>
      </c>
      <c r="D320">
        <v>2.4300000000000002</v>
      </c>
      <c r="E320">
        <v>0.92900000000000005</v>
      </c>
      <c r="F320" s="25">
        <v>3.3500000000000002E-2</v>
      </c>
      <c r="G320">
        <v>0.68100000000000005</v>
      </c>
      <c r="H320">
        <v>10.78</v>
      </c>
      <c r="I320">
        <v>1.1299999999999999</v>
      </c>
      <c r="J320">
        <v>-4.13</v>
      </c>
      <c r="K320">
        <v>0.8</v>
      </c>
      <c r="L320">
        <v>0.79</v>
      </c>
      <c r="M320" s="25">
        <v>0.81850000000000001</v>
      </c>
      <c r="N320" s="25">
        <v>7.9200000000000007E-2</v>
      </c>
      <c r="O320">
        <v>1.1299999999999999</v>
      </c>
      <c r="P320" s="25">
        <v>0.75109999999999999</v>
      </c>
      <c r="Q320" s="25">
        <v>0.2039</v>
      </c>
      <c r="R320" s="26">
        <v>107605000</v>
      </c>
      <c r="S320" s="26">
        <v>13856800000</v>
      </c>
      <c r="T320">
        <v>0</v>
      </c>
      <c r="U320" s="25">
        <v>0.18590000000000001</v>
      </c>
    </row>
    <row r="321" spans="1:21" x14ac:dyDescent="0.25">
      <c r="A321" t="s">
        <v>221</v>
      </c>
      <c r="B321">
        <v>3.94</v>
      </c>
      <c r="C321">
        <v>-4.87</v>
      </c>
      <c r="D321">
        <v>1.76</v>
      </c>
      <c r="E321">
        <v>0.22500000000000001</v>
      </c>
      <c r="F321" s="25">
        <v>0</v>
      </c>
      <c r="G321">
        <v>0.154</v>
      </c>
      <c r="H321">
        <v>-2.79</v>
      </c>
      <c r="I321">
        <v>7.06</v>
      </c>
      <c r="J321">
        <v>-0.28999999999999998</v>
      </c>
      <c r="K321">
        <v>19.88</v>
      </c>
      <c r="L321">
        <v>5.82</v>
      </c>
      <c r="M321" s="25">
        <v>3.1800000000000002E-2</v>
      </c>
      <c r="N321" s="25">
        <v>-4.6100000000000002E-2</v>
      </c>
      <c r="O321">
        <v>0.87</v>
      </c>
      <c r="P321" s="25">
        <v>3.15E-2</v>
      </c>
      <c r="Q321" s="25">
        <v>-0.36120000000000002</v>
      </c>
      <c r="R321" s="26">
        <v>1626920</v>
      </c>
      <c r="S321" s="26">
        <v>315773000</v>
      </c>
      <c r="T321">
        <v>4.5</v>
      </c>
      <c r="U321" s="25">
        <v>0.1201</v>
      </c>
    </row>
    <row r="322" spans="1:21" x14ac:dyDescent="0.25">
      <c r="A322" t="s">
        <v>438</v>
      </c>
      <c r="B322">
        <v>8.94</v>
      </c>
      <c r="C322">
        <v>11.14</v>
      </c>
      <c r="D322">
        <v>0.98</v>
      </c>
      <c r="E322">
        <v>0.52200000000000002</v>
      </c>
      <c r="F322" s="25">
        <v>3.0300000000000001E-2</v>
      </c>
      <c r="G322">
        <v>0.40400000000000003</v>
      </c>
      <c r="H322">
        <v>1.19</v>
      </c>
      <c r="I322">
        <v>12.07</v>
      </c>
      <c r="J322">
        <v>6.97</v>
      </c>
      <c r="K322">
        <v>16.05</v>
      </c>
      <c r="L322">
        <v>7.92</v>
      </c>
      <c r="M322" s="25">
        <v>4.3200000000000002E-2</v>
      </c>
      <c r="N322" s="25">
        <v>7.2099999999999997E-2</v>
      </c>
      <c r="O322">
        <v>2.56</v>
      </c>
      <c r="P322" s="25">
        <v>4.9299999999999997E-2</v>
      </c>
      <c r="Q322" s="25">
        <v>8.77E-2</v>
      </c>
      <c r="R322" s="26">
        <v>2411.1</v>
      </c>
      <c r="S322" s="26">
        <v>439823000</v>
      </c>
      <c r="T322">
        <v>0.88</v>
      </c>
      <c r="U322" s="25">
        <v>5.5800000000000002E-2</v>
      </c>
    </row>
    <row r="323" spans="1:21" x14ac:dyDescent="0.25">
      <c r="A323" t="s">
        <v>106</v>
      </c>
      <c r="B323">
        <v>4.75</v>
      </c>
      <c r="C323">
        <v>5.92</v>
      </c>
      <c r="D323">
        <v>0.52</v>
      </c>
      <c r="E323">
        <v>0.27700000000000002</v>
      </c>
      <c r="F323" s="25">
        <v>5.7000000000000002E-2</v>
      </c>
      <c r="G323">
        <v>0.215</v>
      </c>
      <c r="H323">
        <v>0.63</v>
      </c>
      <c r="I323">
        <v>6.41</v>
      </c>
      <c r="J323">
        <v>3.7</v>
      </c>
      <c r="K323">
        <v>10.39</v>
      </c>
      <c r="L323">
        <v>5.13</v>
      </c>
      <c r="M323" s="25">
        <v>4.3200000000000002E-2</v>
      </c>
      <c r="N323" s="25">
        <v>7.2099999999999997E-2</v>
      </c>
      <c r="O323">
        <v>2.56</v>
      </c>
      <c r="P323" s="25">
        <v>4.9299999999999997E-2</v>
      </c>
      <c r="Q323" s="25">
        <v>8.77E-2</v>
      </c>
      <c r="R323" s="26">
        <v>68324.7</v>
      </c>
      <c r="S323" s="26">
        <v>439823000</v>
      </c>
      <c r="T323">
        <v>0.88</v>
      </c>
      <c r="U323" s="25">
        <v>5.5800000000000002E-2</v>
      </c>
    </row>
    <row r="324" spans="1:21" x14ac:dyDescent="0.25">
      <c r="A324" t="s">
        <v>144</v>
      </c>
      <c r="B324">
        <v>1.67</v>
      </c>
      <c r="C324">
        <v>125.91</v>
      </c>
      <c r="D324">
        <v>0.37</v>
      </c>
      <c r="E324">
        <v>0.30599999999999999</v>
      </c>
      <c r="F324" s="25">
        <v>3.3E-3</v>
      </c>
      <c r="G324">
        <v>0.107</v>
      </c>
      <c r="H324">
        <v>3.44</v>
      </c>
      <c r="I324">
        <v>0.9</v>
      </c>
      <c r="J324">
        <v>-0.36</v>
      </c>
      <c r="K324">
        <v>2.56</v>
      </c>
      <c r="L324">
        <v>1.5</v>
      </c>
      <c r="M324" s="25">
        <v>0.33879999999999999</v>
      </c>
      <c r="N324" s="25">
        <v>8.0000000000000002E-3</v>
      </c>
      <c r="O324">
        <v>1.08</v>
      </c>
      <c r="P324" s="25">
        <v>0.1847</v>
      </c>
      <c r="Q324" s="25">
        <v>2.8999999999999998E-3</v>
      </c>
      <c r="R324" s="26">
        <v>3381620</v>
      </c>
      <c r="S324" s="26">
        <v>1297730000</v>
      </c>
      <c r="T324">
        <v>1.49</v>
      </c>
      <c r="U324" s="25">
        <v>-7.3200000000000001E-2</v>
      </c>
    </row>
    <row r="325" spans="1:21" x14ac:dyDescent="0.25">
      <c r="A325" t="s">
        <v>98</v>
      </c>
      <c r="B325">
        <v>14.17</v>
      </c>
      <c r="C325">
        <v>20.7</v>
      </c>
      <c r="D325">
        <v>3.75</v>
      </c>
      <c r="E325">
        <v>0.61099999999999999</v>
      </c>
      <c r="F325" s="25">
        <v>2.87E-2</v>
      </c>
      <c r="G325">
        <v>1.0760000000000001</v>
      </c>
      <c r="H325">
        <v>7.24</v>
      </c>
      <c r="I325">
        <v>10.56</v>
      </c>
      <c r="J325">
        <v>-8.0500000000000007</v>
      </c>
      <c r="K325">
        <v>11.73</v>
      </c>
      <c r="L325">
        <v>6.51</v>
      </c>
      <c r="M325" s="25">
        <v>5.79E-2</v>
      </c>
      <c r="N325" s="25">
        <v>2.9700000000000001E-2</v>
      </c>
      <c r="O325">
        <v>1.34</v>
      </c>
      <c r="P325" s="25">
        <v>0.1431</v>
      </c>
      <c r="Q325" s="25">
        <v>0.18129999999999999</v>
      </c>
      <c r="R325" s="26">
        <v>188858000</v>
      </c>
      <c r="S325" s="26">
        <v>6485910000</v>
      </c>
      <c r="T325">
        <v>0.49</v>
      </c>
      <c r="U325" s="25">
        <v>0.17849999999999999</v>
      </c>
    </row>
    <row r="326" spans="1:21" x14ac:dyDescent="0.25">
      <c r="A326" t="s">
        <v>54</v>
      </c>
      <c r="B326">
        <v>17.09</v>
      </c>
      <c r="C326">
        <v>-22.2</v>
      </c>
      <c r="D326">
        <v>2.17</v>
      </c>
      <c r="E326">
        <v>2.3039999999999998</v>
      </c>
      <c r="F326" s="25">
        <v>4.7399999999999998E-2</v>
      </c>
      <c r="G326">
        <v>0.61599999999999999</v>
      </c>
      <c r="H326">
        <v>6.22</v>
      </c>
      <c r="I326">
        <v>5.61</v>
      </c>
      <c r="J326">
        <v>-1.22</v>
      </c>
      <c r="K326">
        <v>7.92</v>
      </c>
      <c r="L326">
        <v>3.94</v>
      </c>
      <c r="M326" s="25">
        <v>0.41110000000000002</v>
      </c>
      <c r="N326" s="25">
        <v>-0.1028</v>
      </c>
      <c r="O326">
        <v>1.9</v>
      </c>
      <c r="P326" s="25">
        <v>0.13270000000000001</v>
      </c>
      <c r="Q326" s="25">
        <v>-9.7799999999999998E-2</v>
      </c>
      <c r="R326" s="26">
        <v>195166000</v>
      </c>
      <c r="S326" s="26">
        <v>14598900000</v>
      </c>
      <c r="T326">
        <v>1.44</v>
      </c>
      <c r="U326" s="25">
        <v>0.18099999999999999</v>
      </c>
    </row>
    <row r="327" spans="1:21" x14ac:dyDescent="0.25">
      <c r="A327" t="s">
        <v>231</v>
      </c>
      <c r="B327">
        <v>1.54</v>
      </c>
      <c r="C327">
        <v>-3.75</v>
      </c>
      <c r="D327">
        <v>0.91</v>
      </c>
      <c r="E327">
        <v>6.2E-2</v>
      </c>
      <c r="F327" s="25">
        <v>6.4999999999999997E-3</v>
      </c>
      <c r="G327">
        <v>0.113</v>
      </c>
      <c r="H327">
        <v>1.05</v>
      </c>
      <c r="I327">
        <v>6.52</v>
      </c>
      <c r="J327">
        <v>-0.26</v>
      </c>
      <c r="K327">
        <v>25.63</v>
      </c>
      <c r="L327">
        <v>5.31</v>
      </c>
      <c r="M327" s="25">
        <v>9.5999999999999992E-3</v>
      </c>
      <c r="N327" s="25">
        <v>-1.6400000000000001E-2</v>
      </c>
      <c r="O327">
        <v>1.33</v>
      </c>
      <c r="P327" s="25">
        <v>2.5100000000000001E-2</v>
      </c>
      <c r="Q327" s="25">
        <v>-0.24199999999999999</v>
      </c>
      <c r="R327" s="26">
        <v>25375700</v>
      </c>
      <c r="S327" s="26">
        <v>17588500000</v>
      </c>
      <c r="T327">
        <v>3.89</v>
      </c>
      <c r="U327" s="25">
        <v>0.25109999999999999</v>
      </c>
    </row>
    <row r="328" spans="1:21" x14ac:dyDescent="0.25">
      <c r="A328" t="s">
        <v>203</v>
      </c>
      <c r="B328">
        <v>7.25</v>
      </c>
      <c r="C328">
        <v>5.39</v>
      </c>
      <c r="D328">
        <v>1.23</v>
      </c>
      <c r="E328">
        <v>1.0429999999999999</v>
      </c>
      <c r="F328" s="25">
        <v>9.1399999999999995E-2</v>
      </c>
      <c r="G328">
        <v>0.47199999999999998</v>
      </c>
      <c r="H328">
        <v>1.86</v>
      </c>
      <c r="I328">
        <v>4.57</v>
      </c>
      <c r="J328">
        <v>-1.81</v>
      </c>
      <c r="K328">
        <v>7.47</v>
      </c>
      <c r="L328">
        <v>4.8600000000000003</v>
      </c>
      <c r="M328" s="25">
        <v>0.22800000000000001</v>
      </c>
      <c r="N328" s="25">
        <v>0.19350000000000001</v>
      </c>
      <c r="O328">
        <v>3.51</v>
      </c>
      <c r="P328" s="25">
        <v>0.13189999999999999</v>
      </c>
      <c r="Q328" s="25">
        <v>0.22839999999999999</v>
      </c>
      <c r="R328" s="26">
        <v>4789930</v>
      </c>
      <c r="S328" s="26">
        <v>1412250000</v>
      </c>
      <c r="T328">
        <v>1.25</v>
      </c>
      <c r="U328" s="25">
        <v>7.1400000000000005E-2</v>
      </c>
    </row>
    <row r="329" spans="1:21" x14ac:dyDescent="0.25">
      <c r="A329" t="s">
        <v>131</v>
      </c>
      <c r="B329">
        <v>7.15</v>
      </c>
      <c r="C329">
        <v>7.38</v>
      </c>
      <c r="D329">
        <v>0.76</v>
      </c>
      <c r="E329">
        <v>0.187</v>
      </c>
      <c r="F329" s="25">
        <v>3.5799999999999998E-2</v>
      </c>
      <c r="G329">
        <v>0.13</v>
      </c>
      <c r="H329">
        <v>0.46</v>
      </c>
      <c r="I329">
        <v>1.65</v>
      </c>
      <c r="J329">
        <v>-0.6</v>
      </c>
      <c r="K329">
        <v>6.41</v>
      </c>
      <c r="L329">
        <v>5.08</v>
      </c>
      <c r="M329" s="25">
        <v>0.1138</v>
      </c>
      <c r="N329" s="25">
        <v>4.6100000000000002E-2</v>
      </c>
      <c r="O329">
        <v>2.06</v>
      </c>
      <c r="P329" s="25">
        <v>9.9099999999999994E-2</v>
      </c>
      <c r="Q329" s="25">
        <v>0.1027</v>
      </c>
      <c r="R329" s="26">
        <v>269444</v>
      </c>
      <c r="S329" s="26">
        <v>3105150000</v>
      </c>
      <c r="T329">
        <v>2.93</v>
      </c>
      <c r="U329" s="25">
        <v>0.16830000000000001</v>
      </c>
    </row>
    <row r="330" spans="1:21" x14ac:dyDescent="0.25">
      <c r="A330" t="s">
        <v>130</v>
      </c>
      <c r="B330">
        <v>7.29</v>
      </c>
      <c r="C330">
        <v>7.53</v>
      </c>
      <c r="D330">
        <v>0.77</v>
      </c>
      <c r="E330">
        <v>0.191</v>
      </c>
      <c r="F330" s="25">
        <v>3.5099999999999999E-2</v>
      </c>
      <c r="G330">
        <v>0.13200000000000001</v>
      </c>
      <c r="H330">
        <v>0.47</v>
      </c>
      <c r="I330">
        <v>1.68</v>
      </c>
      <c r="J330">
        <v>-0.61</v>
      </c>
      <c r="K330">
        <v>6.45</v>
      </c>
      <c r="L330">
        <v>5.1100000000000003</v>
      </c>
      <c r="M330" s="25">
        <v>0.1138</v>
      </c>
      <c r="N330" s="25">
        <v>4.6100000000000002E-2</v>
      </c>
      <c r="O330">
        <v>2.06</v>
      </c>
      <c r="P330" s="25">
        <v>9.9099999999999994E-2</v>
      </c>
      <c r="Q330" s="25">
        <v>0.1027</v>
      </c>
      <c r="R330" s="26">
        <v>27828400</v>
      </c>
      <c r="S330" s="26">
        <v>3105150000</v>
      </c>
      <c r="T330">
        <v>2.93</v>
      </c>
      <c r="U330" s="25">
        <v>0.16830000000000001</v>
      </c>
    </row>
    <row r="331" spans="1:21" x14ac:dyDescent="0.25">
      <c r="A331" t="s">
        <v>263</v>
      </c>
      <c r="B331">
        <v>1.99</v>
      </c>
      <c r="C331">
        <v>-3.33</v>
      </c>
      <c r="D331">
        <v>-3.27</v>
      </c>
      <c r="E331">
        <v>5.8079999999999998</v>
      </c>
      <c r="F331" s="25">
        <v>0</v>
      </c>
      <c r="G331">
        <v>1.357</v>
      </c>
      <c r="H331">
        <v>-8.76</v>
      </c>
      <c r="I331">
        <v>-13.66</v>
      </c>
      <c r="J331">
        <v>-1.25</v>
      </c>
      <c r="K331">
        <v>-13.66</v>
      </c>
      <c r="L331">
        <v>-26.54</v>
      </c>
      <c r="M331" s="25">
        <v>-0.42530000000000001</v>
      </c>
      <c r="N331" s="25">
        <v>-1.8663000000000001</v>
      </c>
      <c r="O331">
        <v>0.68</v>
      </c>
      <c r="P331" s="25">
        <v>-0.1026</v>
      </c>
      <c r="Q331" s="25">
        <v>0.98080000000000001</v>
      </c>
      <c r="R331" s="26">
        <v>502996</v>
      </c>
      <c r="S331" s="26">
        <v>-19381000</v>
      </c>
      <c r="T331">
        <v>0</v>
      </c>
      <c r="U331" s="25">
        <v>-0.2402</v>
      </c>
    </row>
    <row r="332" spans="1:21" x14ac:dyDescent="0.25">
      <c r="A332" t="s">
        <v>172</v>
      </c>
      <c r="B332">
        <v>1.0900000000000001</v>
      </c>
      <c r="C332">
        <v>-1.82</v>
      </c>
      <c r="D332">
        <v>-1.79</v>
      </c>
      <c r="E332">
        <v>3.181</v>
      </c>
      <c r="F332" s="25">
        <v>0</v>
      </c>
      <c r="G332">
        <v>0.74399999999999999</v>
      </c>
      <c r="H332">
        <v>-4.8</v>
      </c>
      <c r="I332">
        <v>-7.48</v>
      </c>
      <c r="J332">
        <v>-0.69</v>
      </c>
      <c r="K332">
        <v>-7.48</v>
      </c>
      <c r="L332">
        <v>-14.54</v>
      </c>
      <c r="M332" s="25">
        <v>-0.42530000000000001</v>
      </c>
      <c r="N332" s="25">
        <v>-1.8663000000000001</v>
      </c>
      <c r="O332">
        <v>0.68</v>
      </c>
      <c r="P332" s="25">
        <v>-0.1026</v>
      </c>
      <c r="Q332" s="25">
        <v>0.98080000000000001</v>
      </c>
      <c r="R332" s="26">
        <v>3442960</v>
      </c>
      <c r="S332" s="26">
        <v>-19381000</v>
      </c>
      <c r="T332">
        <v>0</v>
      </c>
      <c r="U332" s="25">
        <v>-0.2402</v>
      </c>
    </row>
    <row r="333" spans="1:21" x14ac:dyDescent="0.25">
      <c r="A333" t="s">
        <v>224</v>
      </c>
      <c r="B333">
        <v>2.2999999999999998</v>
      </c>
      <c r="C333">
        <v>-0.73</v>
      </c>
      <c r="D333">
        <v>0.46</v>
      </c>
      <c r="E333">
        <v>0.20799999999999999</v>
      </c>
      <c r="F333" s="25">
        <v>0</v>
      </c>
      <c r="G333">
        <v>7.5999999999999998E-2</v>
      </c>
      <c r="H333">
        <v>0.35</v>
      </c>
      <c r="I333">
        <v>-1.86</v>
      </c>
      <c r="J333">
        <v>-0.23</v>
      </c>
      <c r="K333">
        <v>-11.72</v>
      </c>
      <c r="L333">
        <v>-13.33</v>
      </c>
      <c r="M333" s="25">
        <v>-0.1118</v>
      </c>
      <c r="N333" s="25">
        <v>-0.2767</v>
      </c>
      <c r="O333">
        <v>1.79</v>
      </c>
      <c r="P333" s="25">
        <v>-4.2700000000000002E-2</v>
      </c>
      <c r="Q333" s="25">
        <v>-0.62760000000000005</v>
      </c>
      <c r="R333" s="26">
        <v>16910.5</v>
      </c>
      <c r="S333" s="26">
        <v>220547000</v>
      </c>
      <c r="T333">
        <v>2.5499999999999998</v>
      </c>
      <c r="U333" s="25">
        <v>4.4600000000000001E-2</v>
      </c>
    </row>
    <row r="334" spans="1:21" x14ac:dyDescent="0.25">
      <c r="A334" t="s">
        <v>176</v>
      </c>
      <c r="B334">
        <v>33.1</v>
      </c>
      <c r="C334">
        <v>18.559999999999999</v>
      </c>
      <c r="D334">
        <v>3.03</v>
      </c>
      <c r="E334">
        <v>1.476</v>
      </c>
      <c r="F334" s="25">
        <v>2.2499999999999999E-2</v>
      </c>
      <c r="G334">
        <v>0.72599999999999998</v>
      </c>
      <c r="H334">
        <v>2.21</v>
      </c>
      <c r="I334">
        <v>9.6199999999999992</v>
      </c>
      <c r="J334">
        <v>-3.16</v>
      </c>
      <c r="K334">
        <v>9.35</v>
      </c>
      <c r="L334">
        <v>7.7</v>
      </c>
      <c r="M334" s="25">
        <v>0.15340000000000001</v>
      </c>
      <c r="N334" s="25">
        <v>8.1100000000000005E-2</v>
      </c>
      <c r="O334">
        <v>2.87</v>
      </c>
      <c r="P334" s="25">
        <v>0.12540000000000001</v>
      </c>
      <c r="Q334" s="25">
        <v>0.1633</v>
      </c>
      <c r="R334" s="26">
        <v>182197000</v>
      </c>
      <c r="S334" s="26">
        <v>25003000000</v>
      </c>
      <c r="T334">
        <v>1.51</v>
      </c>
      <c r="U334" s="25">
        <v>0.37930000000000003</v>
      </c>
    </row>
    <row r="335" spans="1:21" x14ac:dyDescent="0.25">
      <c r="A335" t="s">
        <v>439</v>
      </c>
      <c r="B335">
        <v>4.05</v>
      </c>
      <c r="C335">
        <v>42.91</v>
      </c>
      <c r="D335">
        <v>1.94</v>
      </c>
      <c r="E335">
        <v>9.3800000000000008</v>
      </c>
      <c r="F335" s="25">
        <v>0</v>
      </c>
      <c r="G335">
        <v>1.8240000000000001</v>
      </c>
      <c r="H335">
        <v>1.99</v>
      </c>
      <c r="I335">
        <v>-30.03</v>
      </c>
      <c r="J335">
        <v>2</v>
      </c>
      <c r="K335">
        <v>-14.61</v>
      </c>
      <c r="L335">
        <v>-20</v>
      </c>
      <c r="M335" s="25">
        <v>-0.31230000000000002</v>
      </c>
      <c r="N335" s="25">
        <v>0.21859999999999999</v>
      </c>
      <c r="O335">
        <v>16.47</v>
      </c>
      <c r="P335" s="25">
        <v>-1.5592999999999999</v>
      </c>
      <c r="Q335" s="25">
        <v>4.53E-2</v>
      </c>
      <c r="R335" s="26">
        <v>52716.5</v>
      </c>
      <c r="S335" s="26">
        <v>293687000</v>
      </c>
      <c r="T335">
        <v>0</v>
      </c>
      <c r="U335" s="25">
        <v>1.7399999999999999E-2</v>
      </c>
    </row>
    <row r="336" spans="1:21" x14ac:dyDescent="0.25">
      <c r="A336" t="s">
        <v>170</v>
      </c>
      <c r="B336">
        <v>13.55</v>
      </c>
      <c r="C336">
        <v>7.17</v>
      </c>
      <c r="D336">
        <v>0.89</v>
      </c>
      <c r="E336">
        <v>1.1759999999999999</v>
      </c>
      <c r="F336" s="25">
        <v>0.16189999999999999</v>
      </c>
      <c r="G336">
        <v>0.53300000000000003</v>
      </c>
      <c r="H336">
        <v>4.24</v>
      </c>
      <c r="I336">
        <v>3.9</v>
      </c>
      <c r="J336">
        <v>-2.81</v>
      </c>
      <c r="K336">
        <v>4.72</v>
      </c>
      <c r="L336">
        <v>2.79</v>
      </c>
      <c r="M336" s="25">
        <v>0.30180000000000001</v>
      </c>
      <c r="N336" s="25">
        <v>0.16420000000000001</v>
      </c>
      <c r="O336">
        <v>2.4700000000000002</v>
      </c>
      <c r="P336" s="25">
        <v>0.1681</v>
      </c>
      <c r="Q336" s="25">
        <v>0.12429999999999999</v>
      </c>
      <c r="R336" s="26">
        <v>38384100</v>
      </c>
      <c r="S336" s="26">
        <v>4463790000</v>
      </c>
      <c r="T336">
        <v>0.42</v>
      </c>
      <c r="U336" s="25">
        <v>0.26989999999999997</v>
      </c>
    </row>
    <row r="337" spans="1:21" x14ac:dyDescent="0.25">
      <c r="A337" t="s">
        <v>69</v>
      </c>
      <c r="B337">
        <v>6.4</v>
      </c>
      <c r="C337">
        <v>10.17</v>
      </c>
      <c r="D337">
        <v>3.25</v>
      </c>
      <c r="E337">
        <v>0.747</v>
      </c>
      <c r="F337" s="25">
        <v>6.6100000000000006E-2</v>
      </c>
      <c r="G337">
        <v>0.44900000000000001</v>
      </c>
      <c r="H337">
        <v>6.14</v>
      </c>
      <c r="I337">
        <v>3.92</v>
      </c>
      <c r="J337">
        <v>-0.85</v>
      </c>
      <c r="K337">
        <v>7.72</v>
      </c>
      <c r="L337">
        <v>6.11</v>
      </c>
      <c r="M337" s="25">
        <v>0.1908</v>
      </c>
      <c r="N337" s="25">
        <v>0.10059999999999999</v>
      </c>
      <c r="O337">
        <v>1.38</v>
      </c>
      <c r="P337" s="25">
        <v>0.13450000000000001</v>
      </c>
      <c r="Q337" s="25">
        <v>0.31929999999999997</v>
      </c>
      <c r="R337" s="26">
        <v>8768.36</v>
      </c>
      <c r="S337" s="26">
        <v>4157530000</v>
      </c>
      <c r="T337">
        <v>3.88</v>
      </c>
      <c r="U337" s="25">
        <v>9.06E-2</v>
      </c>
    </row>
    <row r="338" spans="1:21" x14ac:dyDescent="0.25">
      <c r="A338" t="s">
        <v>129</v>
      </c>
      <c r="B338">
        <v>36.229999999999997</v>
      </c>
      <c r="C338">
        <v>20.399999999999999</v>
      </c>
      <c r="D338">
        <v>1.48</v>
      </c>
      <c r="E338">
        <v>1.0129999999999999</v>
      </c>
      <c r="F338" s="25">
        <v>4.87E-2</v>
      </c>
      <c r="G338">
        <v>0.48499999999999999</v>
      </c>
      <c r="H338">
        <v>7.44</v>
      </c>
      <c r="I338">
        <v>6.52</v>
      </c>
      <c r="J338">
        <v>-1.06</v>
      </c>
      <c r="K338">
        <v>12.27</v>
      </c>
      <c r="L338">
        <v>5.99</v>
      </c>
      <c r="M338" s="25">
        <v>0.15540000000000001</v>
      </c>
      <c r="N338" s="25">
        <v>4.9599999999999998E-2</v>
      </c>
      <c r="O338">
        <v>1.43</v>
      </c>
      <c r="P338" s="25">
        <v>8.9300000000000004E-2</v>
      </c>
      <c r="Q338" s="25">
        <v>7.2800000000000004E-2</v>
      </c>
      <c r="R338" s="26">
        <v>355454000</v>
      </c>
      <c r="S338" s="26">
        <v>26432600000</v>
      </c>
      <c r="T338">
        <v>1.62</v>
      </c>
      <c r="U338" s="25">
        <v>0.4466</v>
      </c>
    </row>
    <row r="339" spans="1:21" x14ac:dyDescent="0.25">
      <c r="A339" t="s">
        <v>440</v>
      </c>
      <c r="B339">
        <v>3.9</v>
      </c>
      <c r="C339">
        <v>-4.29</v>
      </c>
      <c r="D339">
        <v>0.64</v>
      </c>
      <c r="E339">
        <v>1.609</v>
      </c>
      <c r="F339" s="25">
        <v>0</v>
      </c>
      <c r="G339">
        <v>0.153</v>
      </c>
      <c r="H339">
        <v>-3.24</v>
      </c>
      <c r="I339">
        <v>-6.51</v>
      </c>
      <c r="J339">
        <v>-0.24</v>
      </c>
      <c r="K339">
        <v>-20.52</v>
      </c>
      <c r="L339">
        <v>48.8</v>
      </c>
      <c r="M339" s="25">
        <v>-0.247</v>
      </c>
      <c r="N339" s="25">
        <v>-0.37469999999999998</v>
      </c>
      <c r="O339">
        <v>0.72</v>
      </c>
      <c r="P339" s="25">
        <v>-2.4899999999999999E-2</v>
      </c>
      <c r="Q339" s="25">
        <v>-0.14860000000000001</v>
      </c>
      <c r="R339" s="26">
        <v>24228.1</v>
      </c>
      <c r="S339" s="26">
        <v>758413000</v>
      </c>
      <c r="T339">
        <v>1.51</v>
      </c>
      <c r="U339" s="25">
        <v>0.39360000000000001</v>
      </c>
    </row>
    <row r="340" spans="1:21" x14ac:dyDescent="0.25">
      <c r="A340" t="s">
        <v>70</v>
      </c>
      <c r="B340">
        <v>1.3</v>
      </c>
      <c r="C340">
        <v>-4.29</v>
      </c>
      <c r="D340">
        <v>0.64</v>
      </c>
      <c r="E340">
        <v>1.609</v>
      </c>
      <c r="F340" s="25">
        <v>0</v>
      </c>
      <c r="G340">
        <v>0.153</v>
      </c>
      <c r="H340">
        <v>-3.24</v>
      </c>
      <c r="I340">
        <v>-6.51</v>
      </c>
      <c r="J340">
        <v>-0.24</v>
      </c>
      <c r="K340">
        <v>-20.52</v>
      </c>
      <c r="L340">
        <v>48.8</v>
      </c>
      <c r="M340" s="25">
        <v>-0.247</v>
      </c>
      <c r="N340" s="25">
        <v>-0.37469999999999998</v>
      </c>
      <c r="O340">
        <v>0.72</v>
      </c>
      <c r="P340" s="25">
        <v>-2.4899999999999999E-2</v>
      </c>
      <c r="Q340" s="25">
        <v>-0.14860000000000001</v>
      </c>
      <c r="R340" s="26">
        <v>100664</v>
      </c>
      <c r="S340" s="26">
        <v>758413000</v>
      </c>
      <c r="T340">
        <v>1.51</v>
      </c>
      <c r="U340" s="25">
        <v>0.39360000000000001</v>
      </c>
    </row>
    <row r="341" spans="1:21" x14ac:dyDescent="0.25">
      <c r="A341" t="s">
        <v>88</v>
      </c>
      <c r="B341">
        <v>1.3</v>
      </c>
      <c r="C341">
        <v>-4.29</v>
      </c>
      <c r="D341">
        <v>0.64</v>
      </c>
      <c r="E341">
        <v>1.609</v>
      </c>
      <c r="F341" s="25">
        <v>0</v>
      </c>
      <c r="G341">
        <v>0.153</v>
      </c>
      <c r="H341">
        <v>-3.24</v>
      </c>
      <c r="I341">
        <v>-6.51</v>
      </c>
      <c r="J341">
        <v>-0.24</v>
      </c>
      <c r="K341">
        <v>-20.52</v>
      </c>
      <c r="L341">
        <v>48.8</v>
      </c>
      <c r="M341" s="25">
        <v>-0.247</v>
      </c>
      <c r="N341" s="25">
        <v>-0.37469999999999998</v>
      </c>
      <c r="O341">
        <v>0.72</v>
      </c>
      <c r="P341" s="25">
        <v>-2.4899999999999999E-2</v>
      </c>
      <c r="Q341" s="25">
        <v>-0.14860000000000001</v>
      </c>
      <c r="R341" s="26">
        <v>211746</v>
      </c>
      <c r="S341" s="26">
        <v>758413000</v>
      </c>
      <c r="T341">
        <v>1.51</v>
      </c>
      <c r="U341" s="25">
        <v>0.39360000000000001</v>
      </c>
    </row>
    <row r="342" spans="1:21" x14ac:dyDescent="0.25">
      <c r="A342" t="s">
        <v>52</v>
      </c>
      <c r="B342">
        <v>8.43</v>
      </c>
      <c r="C342">
        <v>8.59</v>
      </c>
      <c r="D342">
        <v>0.64</v>
      </c>
      <c r="E342">
        <v>0.60199999999999998</v>
      </c>
      <c r="F342" s="25">
        <v>9.7299999999999998E-2</v>
      </c>
      <c r="G342">
        <v>0.313</v>
      </c>
      <c r="H342">
        <v>0.97</v>
      </c>
      <c r="I342">
        <v>10.72</v>
      </c>
      <c r="J342">
        <v>3.7</v>
      </c>
      <c r="K342">
        <v>17.93</v>
      </c>
      <c r="L342">
        <v>9.49</v>
      </c>
      <c r="M342" s="25">
        <v>5.6099999999999997E-2</v>
      </c>
      <c r="N342" s="25">
        <v>7.0800000000000002E-2</v>
      </c>
      <c r="O342">
        <v>2.17</v>
      </c>
      <c r="P342" s="25">
        <v>3.39E-2</v>
      </c>
      <c r="Q342" s="25">
        <v>7.4800000000000005E-2</v>
      </c>
      <c r="R342" s="26">
        <v>980563</v>
      </c>
      <c r="S342" s="26">
        <v>1221270000</v>
      </c>
      <c r="T342">
        <v>0.63</v>
      </c>
      <c r="U342" s="25">
        <v>-3.8999999999999998E-3</v>
      </c>
    </row>
    <row r="343" spans="1:21" x14ac:dyDescent="0.25">
      <c r="A343" t="s">
        <v>441</v>
      </c>
      <c r="B343">
        <v>4.5999999999999996</v>
      </c>
      <c r="C343">
        <v>-3.26</v>
      </c>
      <c r="D343">
        <v>0.41</v>
      </c>
      <c r="E343">
        <v>0</v>
      </c>
      <c r="F343" s="25">
        <v>0</v>
      </c>
      <c r="G343">
        <v>0.40600000000000003</v>
      </c>
      <c r="H343">
        <v>3.18</v>
      </c>
      <c r="I343">
        <v>-202.46</v>
      </c>
      <c r="J343">
        <v>3.37</v>
      </c>
      <c r="K343">
        <v>-138.32</v>
      </c>
      <c r="L343">
        <v>-138.32</v>
      </c>
      <c r="M343" s="25">
        <v>0</v>
      </c>
      <c r="N343" s="25">
        <v>0</v>
      </c>
      <c r="O343">
        <v>31.58</v>
      </c>
      <c r="P343" s="25">
        <v>-2.3E-3</v>
      </c>
      <c r="Q343" s="25">
        <v>-0.12570000000000001</v>
      </c>
      <c r="R343" s="26">
        <v>539.19000000000005</v>
      </c>
      <c r="S343" s="26">
        <v>949721000</v>
      </c>
      <c r="T343">
        <v>0</v>
      </c>
      <c r="U343" s="25">
        <v>0</v>
      </c>
    </row>
    <row r="344" spans="1:21" x14ac:dyDescent="0.25">
      <c r="A344" t="s">
        <v>442</v>
      </c>
      <c r="B344">
        <v>7.15</v>
      </c>
      <c r="C344">
        <v>-5.07</v>
      </c>
      <c r="D344">
        <v>0.64</v>
      </c>
      <c r="E344">
        <v>0</v>
      </c>
      <c r="F344" s="25">
        <v>8.6499999999999994E-2</v>
      </c>
      <c r="G344">
        <v>0.63</v>
      </c>
      <c r="H344">
        <v>4.95</v>
      </c>
      <c r="I344">
        <v>-314.7</v>
      </c>
      <c r="J344">
        <v>5.23</v>
      </c>
      <c r="K344">
        <v>-250.55</v>
      </c>
      <c r="L344">
        <v>-250.55</v>
      </c>
      <c r="M344" s="25">
        <v>0</v>
      </c>
      <c r="N344" s="25">
        <v>0</v>
      </c>
      <c r="O344">
        <v>31.58</v>
      </c>
      <c r="P344" s="25">
        <v>-2.3E-3</v>
      </c>
      <c r="Q344" s="25">
        <v>-0.12570000000000001</v>
      </c>
      <c r="R344" s="26">
        <v>208.21</v>
      </c>
      <c r="S344" s="26">
        <v>949721000</v>
      </c>
      <c r="T344">
        <v>0</v>
      </c>
      <c r="U344" s="25">
        <v>0</v>
      </c>
    </row>
    <row r="345" spans="1:21" x14ac:dyDescent="0.25">
      <c r="A345" t="s">
        <v>443</v>
      </c>
      <c r="B345">
        <v>4.04</v>
      </c>
      <c r="C345">
        <v>-2.87</v>
      </c>
      <c r="D345">
        <v>0.36</v>
      </c>
      <c r="E345">
        <v>0</v>
      </c>
      <c r="F345" s="25">
        <v>0</v>
      </c>
      <c r="G345">
        <v>0.35599999999999998</v>
      </c>
      <c r="H345">
        <v>2.79</v>
      </c>
      <c r="I345">
        <v>-177.82</v>
      </c>
      <c r="J345">
        <v>2.96</v>
      </c>
      <c r="K345">
        <v>-113.67</v>
      </c>
      <c r="L345">
        <v>-113.67</v>
      </c>
      <c r="M345" s="25">
        <v>0</v>
      </c>
      <c r="N345" s="25">
        <v>0</v>
      </c>
      <c r="O345">
        <v>31.58</v>
      </c>
      <c r="P345" s="25">
        <v>-2.3E-3</v>
      </c>
      <c r="Q345" s="25">
        <v>-0.12570000000000001</v>
      </c>
      <c r="R345" s="26">
        <v>240.17</v>
      </c>
      <c r="S345" s="26">
        <v>949721000</v>
      </c>
      <c r="T345">
        <v>0</v>
      </c>
      <c r="U345" s="25">
        <v>0</v>
      </c>
    </row>
    <row r="346" spans="1:21" x14ac:dyDescent="0.25">
      <c r="A346" t="s">
        <v>8</v>
      </c>
      <c r="B346">
        <v>2.98</v>
      </c>
      <c r="C346">
        <v>-0.15</v>
      </c>
      <c r="D346">
        <v>-0.03</v>
      </c>
      <c r="E346">
        <v>2.7E-2</v>
      </c>
      <c r="F346" s="25">
        <v>0</v>
      </c>
      <c r="G346">
        <v>2.1999999999999999E-2</v>
      </c>
      <c r="H346">
        <v>-0.08</v>
      </c>
      <c r="I346">
        <v>-0.13</v>
      </c>
      <c r="J346">
        <v>-0.03</v>
      </c>
      <c r="K346">
        <v>-0.1</v>
      </c>
      <c r="L346">
        <v>-0.1</v>
      </c>
      <c r="M346" s="25">
        <v>-0.21099999999999999</v>
      </c>
      <c r="N346" s="25">
        <v>-0.17660000000000001</v>
      </c>
      <c r="O346">
        <v>0.78</v>
      </c>
      <c r="P346" s="25">
        <v>-0.17799999999999999</v>
      </c>
      <c r="Q346" s="25">
        <v>0.19389999999999999</v>
      </c>
      <c r="R346" s="26">
        <v>12343.3</v>
      </c>
      <c r="S346" s="26">
        <v>-6919010000</v>
      </c>
      <c r="T346">
        <v>0</v>
      </c>
      <c r="U346" s="25">
        <v>0.46329999999999999</v>
      </c>
    </row>
    <row r="347" spans="1:21" x14ac:dyDescent="0.25">
      <c r="A347" t="s">
        <v>256</v>
      </c>
      <c r="B347">
        <v>1.96</v>
      </c>
      <c r="C347">
        <v>0.14000000000000001</v>
      </c>
      <c r="D347">
        <v>-0.04</v>
      </c>
      <c r="E347">
        <v>0.47099999999999997</v>
      </c>
      <c r="F347" s="25">
        <v>0</v>
      </c>
      <c r="G347">
        <v>7.9000000000000001E-2</v>
      </c>
      <c r="H347">
        <v>-0.13</v>
      </c>
      <c r="I347">
        <v>-3.38</v>
      </c>
      <c r="J347">
        <v>-0.03</v>
      </c>
      <c r="K347">
        <v>-33.26</v>
      </c>
      <c r="L347">
        <v>-33.700000000000003</v>
      </c>
      <c r="M347" s="25">
        <v>-0.13950000000000001</v>
      </c>
      <c r="N347" s="25">
        <v>3.2847</v>
      </c>
      <c r="O347">
        <v>0.45</v>
      </c>
      <c r="P347" s="25">
        <v>-2.5100000000000001E-2</v>
      </c>
      <c r="Q347" s="25">
        <v>-0.28420000000000001</v>
      </c>
      <c r="R347" s="26">
        <v>46558</v>
      </c>
      <c r="S347" s="26">
        <v>-972057000</v>
      </c>
      <c r="T347">
        <v>-0.39</v>
      </c>
      <c r="U347" s="25">
        <v>2.1999999999999999E-2</v>
      </c>
    </row>
    <row r="348" spans="1:21" x14ac:dyDescent="0.25">
      <c r="A348" t="s">
        <v>444</v>
      </c>
      <c r="B348">
        <v>68.959999999999994</v>
      </c>
      <c r="C348">
        <v>7.14</v>
      </c>
      <c r="D348">
        <v>1.67</v>
      </c>
      <c r="E348">
        <v>1.08</v>
      </c>
      <c r="F348" s="25">
        <v>3.2599999999999997E-2</v>
      </c>
      <c r="G348">
        <v>1.0049999999999999</v>
      </c>
      <c r="H348">
        <v>2.86</v>
      </c>
      <c r="I348">
        <v>4.76</v>
      </c>
      <c r="J348">
        <v>5.99</v>
      </c>
      <c r="K348">
        <v>4.3099999999999996</v>
      </c>
      <c r="L348">
        <v>4.01</v>
      </c>
      <c r="M348" s="25">
        <v>0.2268</v>
      </c>
      <c r="N348" s="25">
        <v>0.15110000000000001</v>
      </c>
      <c r="O348">
        <v>2.65</v>
      </c>
      <c r="P348" s="25">
        <v>0.2596</v>
      </c>
      <c r="Q348" s="25">
        <v>0.2336</v>
      </c>
      <c r="R348" s="26">
        <v>80622.8</v>
      </c>
      <c r="S348" s="26">
        <v>250923000</v>
      </c>
      <c r="T348">
        <v>0.06</v>
      </c>
      <c r="U348" s="25">
        <v>0.1169</v>
      </c>
    </row>
    <row r="349" spans="1:21" x14ac:dyDescent="0.25">
      <c r="A349" t="s">
        <v>445</v>
      </c>
      <c r="B349">
        <v>26.52</v>
      </c>
      <c r="C349">
        <v>7.18</v>
      </c>
      <c r="D349">
        <v>1.1000000000000001</v>
      </c>
      <c r="E349">
        <v>0</v>
      </c>
      <c r="F349" s="25">
        <v>6.5699999999999995E-2</v>
      </c>
      <c r="G349">
        <v>0</v>
      </c>
      <c r="H349">
        <v>0</v>
      </c>
      <c r="I349">
        <v>0</v>
      </c>
      <c r="J349">
        <v>0</v>
      </c>
      <c r="K349">
        <v>0</v>
      </c>
      <c r="L349">
        <v>0</v>
      </c>
      <c r="M349" s="25">
        <v>0</v>
      </c>
      <c r="N349" s="25">
        <v>0</v>
      </c>
      <c r="O349">
        <v>0</v>
      </c>
      <c r="P349" s="25">
        <v>0</v>
      </c>
      <c r="Q349" s="25">
        <v>0.15379999999999999</v>
      </c>
      <c r="R349" s="26">
        <v>87122000</v>
      </c>
      <c r="S349" s="26">
        <v>90014800000</v>
      </c>
      <c r="T349">
        <v>0</v>
      </c>
      <c r="U349" s="25">
        <v>-8.0100000000000005E-2</v>
      </c>
    </row>
    <row r="350" spans="1:21" x14ac:dyDescent="0.25">
      <c r="A350" t="s">
        <v>30</v>
      </c>
      <c r="B350">
        <v>12.63</v>
      </c>
      <c r="C350">
        <v>6.84</v>
      </c>
      <c r="D350">
        <v>1.05</v>
      </c>
      <c r="E350">
        <v>0</v>
      </c>
      <c r="F350" s="25">
        <v>6.5699999999999995E-2</v>
      </c>
      <c r="G350">
        <v>0</v>
      </c>
      <c r="H350">
        <v>0</v>
      </c>
      <c r="I350">
        <v>0</v>
      </c>
      <c r="J350">
        <v>0</v>
      </c>
      <c r="K350">
        <v>0</v>
      </c>
      <c r="L350">
        <v>0</v>
      </c>
      <c r="M350" s="25">
        <v>0</v>
      </c>
      <c r="N350" s="25">
        <v>0</v>
      </c>
      <c r="O350">
        <v>0</v>
      </c>
      <c r="P350" s="25">
        <v>0</v>
      </c>
      <c r="Q350" s="25">
        <v>0.15379999999999999</v>
      </c>
      <c r="R350" s="26">
        <v>1073000</v>
      </c>
      <c r="S350" s="26">
        <v>90014800000</v>
      </c>
      <c r="T350">
        <v>0</v>
      </c>
      <c r="U350" s="25">
        <v>-8.0100000000000005E-2</v>
      </c>
    </row>
    <row r="351" spans="1:21" x14ac:dyDescent="0.25">
      <c r="A351" t="s">
        <v>12</v>
      </c>
      <c r="B351">
        <v>13.87</v>
      </c>
      <c r="C351">
        <v>7.51</v>
      </c>
      <c r="D351">
        <v>1.1599999999999999</v>
      </c>
      <c r="E351">
        <v>0</v>
      </c>
      <c r="F351" s="25">
        <v>6.5799999999999997E-2</v>
      </c>
      <c r="G351">
        <v>0</v>
      </c>
      <c r="H351">
        <v>0</v>
      </c>
      <c r="I351">
        <v>0</v>
      </c>
      <c r="J351">
        <v>0</v>
      </c>
      <c r="K351">
        <v>0</v>
      </c>
      <c r="L351">
        <v>0</v>
      </c>
      <c r="M351" s="25">
        <v>0</v>
      </c>
      <c r="N351" s="25">
        <v>0</v>
      </c>
      <c r="O351">
        <v>0</v>
      </c>
      <c r="P351" s="25">
        <v>0</v>
      </c>
      <c r="Q351" s="25">
        <v>0.15379999999999999</v>
      </c>
      <c r="R351" s="26">
        <v>1168520</v>
      </c>
      <c r="S351" s="26">
        <v>90014800000</v>
      </c>
      <c r="T351">
        <v>0</v>
      </c>
      <c r="U351" s="25">
        <v>-8.0100000000000005E-2</v>
      </c>
    </row>
    <row r="352" spans="1:21" x14ac:dyDescent="0.25">
      <c r="A352" t="s">
        <v>446</v>
      </c>
      <c r="B352">
        <v>35.1</v>
      </c>
      <c r="C352">
        <v>4.47</v>
      </c>
      <c r="D352">
        <v>0.88</v>
      </c>
      <c r="E352">
        <v>1.5249999999999999</v>
      </c>
      <c r="F352" s="25">
        <v>6.2899999999999998E-2</v>
      </c>
      <c r="G352">
        <v>0.42599999999999999</v>
      </c>
      <c r="H352">
        <v>9.81</v>
      </c>
      <c r="I352">
        <v>5.67</v>
      </c>
      <c r="J352">
        <v>-1.1200000000000001</v>
      </c>
      <c r="K352">
        <v>8.2200000000000006</v>
      </c>
      <c r="L352">
        <v>6.28</v>
      </c>
      <c r="M352" s="25">
        <v>0.26879999999999998</v>
      </c>
      <c r="N352" s="25">
        <v>0.34129999999999999</v>
      </c>
      <c r="O352">
        <v>1.47</v>
      </c>
      <c r="P352" s="25">
        <v>8.2299999999999998E-2</v>
      </c>
      <c r="Q352" s="25">
        <v>0.19719999999999999</v>
      </c>
      <c r="R352" s="26">
        <v>49478600</v>
      </c>
      <c r="S352" s="26">
        <v>12036700000</v>
      </c>
      <c r="T352">
        <v>0.55000000000000004</v>
      </c>
      <c r="U352" s="25">
        <v>9.9000000000000005E-2</v>
      </c>
    </row>
    <row r="353" spans="1:21" x14ac:dyDescent="0.25">
      <c r="A353" t="s">
        <v>35</v>
      </c>
      <c r="B353">
        <v>7.69</v>
      </c>
      <c r="C353">
        <v>4.9000000000000004</v>
      </c>
      <c r="D353">
        <v>0.97</v>
      </c>
      <c r="E353">
        <v>1.671</v>
      </c>
      <c r="F353" s="25">
        <v>5.3199999999999997E-2</v>
      </c>
      <c r="G353">
        <v>0.46700000000000003</v>
      </c>
      <c r="H353">
        <v>10.74</v>
      </c>
      <c r="I353">
        <v>6.21</v>
      </c>
      <c r="J353">
        <v>-1.23</v>
      </c>
      <c r="K353">
        <v>8.76</v>
      </c>
      <c r="L353">
        <v>6.69</v>
      </c>
      <c r="M353" s="25">
        <v>0.26879999999999998</v>
      </c>
      <c r="N353" s="25">
        <v>0.34129999999999999</v>
      </c>
      <c r="O353">
        <v>1.47</v>
      </c>
      <c r="P353" s="25">
        <v>8.2299999999999998E-2</v>
      </c>
      <c r="Q353" s="25">
        <v>0.19719999999999999</v>
      </c>
      <c r="R353" s="26">
        <v>1703430</v>
      </c>
      <c r="S353" s="26">
        <v>12036700000</v>
      </c>
      <c r="T353">
        <v>0.55000000000000004</v>
      </c>
      <c r="U353" s="25">
        <v>9.9000000000000005E-2</v>
      </c>
    </row>
    <row r="354" spans="1:21" x14ac:dyDescent="0.25">
      <c r="A354" t="s">
        <v>86</v>
      </c>
      <c r="B354">
        <v>6.81</v>
      </c>
      <c r="C354">
        <v>4.34</v>
      </c>
      <c r="D354">
        <v>0.85</v>
      </c>
      <c r="E354">
        <v>1.48</v>
      </c>
      <c r="F354" s="25">
        <v>6.6100000000000006E-2</v>
      </c>
      <c r="G354">
        <v>0.41399999999999998</v>
      </c>
      <c r="H354">
        <v>9.51</v>
      </c>
      <c r="I354">
        <v>5.5</v>
      </c>
      <c r="J354">
        <v>-1.0900000000000001</v>
      </c>
      <c r="K354">
        <v>8.0500000000000007</v>
      </c>
      <c r="L354">
        <v>6.15</v>
      </c>
      <c r="M354" s="25">
        <v>0.26879999999999998</v>
      </c>
      <c r="N354" s="25">
        <v>0.34129999999999999</v>
      </c>
      <c r="O354">
        <v>1.47</v>
      </c>
      <c r="P354" s="25">
        <v>8.2299999999999998E-2</v>
      </c>
      <c r="Q354" s="25">
        <v>0.19719999999999999</v>
      </c>
      <c r="R354" s="26">
        <v>9221860</v>
      </c>
      <c r="S354" s="26">
        <v>12036700000</v>
      </c>
      <c r="T354">
        <v>0.55000000000000004</v>
      </c>
      <c r="U354" s="25">
        <v>9.9000000000000005E-2</v>
      </c>
    </row>
    <row r="355" spans="1:21" x14ac:dyDescent="0.25">
      <c r="A355" t="s">
        <v>200</v>
      </c>
      <c r="B355">
        <v>12.15</v>
      </c>
      <c r="C355">
        <v>5.24</v>
      </c>
      <c r="D355">
        <v>1.02</v>
      </c>
      <c r="E355">
        <v>0.41099999999999998</v>
      </c>
      <c r="F355" s="25">
        <v>4.5100000000000001E-2</v>
      </c>
      <c r="G355">
        <v>0.35099999999999998</v>
      </c>
      <c r="H355">
        <v>2.09</v>
      </c>
      <c r="I355">
        <v>5.03</v>
      </c>
      <c r="J355">
        <v>-2.42</v>
      </c>
      <c r="K355">
        <v>8.1300000000000008</v>
      </c>
      <c r="L355">
        <v>4.72</v>
      </c>
      <c r="M355" s="25">
        <v>8.1799999999999998E-2</v>
      </c>
      <c r="N355" s="25">
        <v>7.8399999999999997E-2</v>
      </c>
      <c r="O355">
        <v>1.49</v>
      </c>
      <c r="P355" s="25">
        <v>8.8300000000000003E-2</v>
      </c>
      <c r="Q355" s="25">
        <v>0.1946</v>
      </c>
      <c r="R355" s="26">
        <v>19358000</v>
      </c>
      <c r="S355" s="26">
        <v>2907110000</v>
      </c>
      <c r="T355">
        <v>0.91</v>
      </c>
      <c r="U355" s="25">
        <v>0.24249999999999999</v>
      </c>
    </row>
    <row r="356" spans="1:21" x14ac:dyDescent="0.25">
      <c r="A356" t="s">
        <v>104</v>
      </c>
      <c r="B356">
        <v>110.94</v>
      </c>
      <c r="C356">
        <v>7.41</v>
      </c>
      <c r="D356">
        <v>1.97</v>
      </c>
      <c r="E356">
        <v>1.9950000000000001</v>
      </c>
      <c r="F356" s="25">
        <v>3.3599999999999998E-2</v>
      </c>
      <c r="G356">
        <v>0.88500000000000001</v>
      </c>
      <c r="H356">
        <v>69.599999999999994</v>
      </c>
      <c r="I356">
        <v>4.4800000000000004</v>
      </c>
      <c r="J356">
        <v>-2.2400000000000002</v>
      </c>
      <c r="K356">
        <v>5.63</v>
      </c>
      <c r="L356">
        <v>4.91</v>
      </c>
      <c r="M356" s="25">
        <v>0.44519999999999998</v>
      </c>
      <c r="N356" s="25">
        <v>0.26939999999999997</v>
      </c>
      <c r="O356">
        <v>1.0900000000000001</v>
      </c>
      <c r="P356" s="25">
        <v>0.2213</v>
      </c>
      <c r="Q356" s="25">
        <v>0.2666</v>
      </c>
      <c r="R356" s="26">
        <v>291991000</v>
      </c>
      <c r="S356" s="26">
        <v>38397900000</v>
      </c>
      <c r="T356">
        <v>0.72</v>
      </c>
      <c r="U356" s="25">
        <v>0.1903</v>
      </c>
    </row>
    <row r="357" spans="1:21" x14ac:dyDescent="0.25">
      <c r="A357" t="s">
        <v>161</v>
      </c>
      <c r="B357">
        <v>16.87</v>
      </c>
      <c r="C357">
        <v>-33.81</v>
      </c>
      <c r="D357">
        <v>0.63</v>
      </c>
      <c r="E357">
        <v>2.121</v>
      </c>
      <c r="F357" s="25">
        <v>0.10340000000000001</v>
      </c>
      <c r="G357">
        <v>0.35399999999999998</v>
      </c>
      <c r="H357">
        <v>1.88</v>
      </c>
      <c r="I357">
        <v>8.18</v>
      </c>
      <c r="J357">
        <v>-1.88</v>
      </c>
      <c r="K357">
        <v>16.48</v>
      </c>
      <c r="L357">
        <v>11.31</v>
      </c>
      <c r="M357" s="25">
        <v>0.25919999999999999</v>
      </c>
      <c r="N357" s="25">
        <v>-6.1699999999999998E-2</v>
      </c>
      <c r="O357">
        <v>3.95</v>
      </c>
      <c r="P357" s="25">
        <v>4.6100000000000002E-2</v>
      </c>
      <c r="Q357" s="25">
        <v>-1.8800000000000001E-2</v>
      </c>
      <c r="R357" s="26">
        <v>419820</v>
      </c>
      <c r="S357" s="26">
        <v>1533970000</v>
      </c>
      <c r="T357">
        <v>0.76</v>
      </c>
      <c r="U357" s="25">
        <v>0.23250000000000001</v>
      </c>
    </row>
    <row r="358" spans="1:21" x14ac:dyDescent="0.25">
      <c r="A358" t="s">
        <v>198</v>
      </c>
      <c r="B358">
        <v>8.24</v>
      </c>
      <c r="C358">
        <v>17.68</v>
      </c>
      <c r="D358">
        <v>0.85</v>
      </c>
      <c r="E358">
        <v>0.51200000000000001</v>
      </c>
      <c r="F358" s="25">
        <v>1.8700000000000001E-2</v>
      </c>
      <c r="G358">
        <v>0.311</v>
      </c>
      <c r="H358">
        <v>5.39</v>
      </c>
      <c r="I358">
        <v>2.89</v>
      </c>
      <c r="J358">
        <v>-0.88</v>
      </c>
      <c r="K358">
        <v>4.5</v>
      </c>
      <c r="L358">
        <v>2.81</v>
      </c>
      <c r="M358" s="25">
        <v>0.17699999999999999</v>
      </c>
      <c r="N358" s="25">
        <v>2.9000000000000001E-2</v>
      </c>
      <c r="O358">
        <v>1.26</v>
      </c>
      <c r="P358" s="25">
        <v>0.12</v>
      </c>
      <c r="Q358" s="25">
        <v>4.7899999999999998E-2</v>
      </c>
      <c r="R358" s="26">
        <v>6423830</v>
      </c>
      <c r="S358" s="26">
        <v>1251870000</v>
      </c>
      <c r="T358">
        <v>0.72</v>
      </c>
      <c r="U358" s="25">
        <v>0.1318</v>
      </c>
    </row>
    <row r="359" spans="1:21" x14ac:dyDescent="0.25">
      <c r="A359" t="s">
        <v>242</v>
      </c>
      <c r="B359">
        <v>1</v>
      </c>
      <c r="C359">
        <v>-0.05</v>
      </c>
      <c r="D359">
        <v>-7.0000000000000007E-2</v>
      </c>
      <c r="E359">
        <v>6.5000000000000002E-2</v>
      </c>
      <c r="F359" s="25">
        <v>0</v>
      </c>
      <c r="G359">
        <v>4.1000000000000002E-2</v>
      </c>
      <c r="H359">
        <v>-0.08</v>
      </c>
      <c r="I359">
        <v>-0.08</v>
      </c>
      <c r="J359">
        <v>-0.03</v>
      </c>
      <c r="K359">
        <v>-1.59</v>
      </c>
      <c r="L359">
        <v>-2.04</v>
      </c>
      <c r="M359" s="25">
        <v>-0.84799999999999998</v>
      </c>
      <c r="N359" s="25">
        <v>-1.6624000000000001</v>
      </c>
      <c r="O359">
        <v>0.24</v>
      </c>
      <c r="P359" s="25">
        <v>-0.75780000000000003</v>
      </c>
      <c r="Q359" s="25">
        <v>1.4429000000000001</v>
      </c>
      <c r="R359" s="26">
        <v>950943</v>
      </c>
      <c r="S359" s="26">
        <v>-758374000</v>
      </c>
      <c r="T359">
        <v>-1.33</v>
      </c>
      <c r="U359" s="25">
        <v>-0.1162</v>
      </c>
    </row>
    <row r="360" spans="1:21" x14ac:dyDescent="0.25">
      <c r="A360" t="s">
        <v>248</v>
      </c>
      <c r="B360">
        <v>6.67</v>
      </c>
      <c r="C360">
        <v>-0.57999999999999996</v>
      </c>
      <c r="D360">
        <v>0.35</v>
      </c>
      <c r="E360">
        <v>0.29199999999999998</v>
      </c>
      <c r="F360" s="25">
        <v>0</v>
      </c>
      <c r="G360">
        <v>0.113</v>
      </c>
      <c r="H360">
        <v>0.72</v>
      </c>
      <c r="I360">
        <v>-2.0499999999999998</v>
      </c>
      <c r="J360">
        <v>-1.1599999999999999</v>
      </c>
      <c r="K360">
        <v>-0.73</v>
      </c>
      <c r="L360">
        <v>-0.99</v>
      </c>
      <c r="M360" s="25">
        <v>-0.14249999999999999</v>
      </c>
      <c r="N360" s="25">
        <v>-0.49930000000000002</v>
      </c>
      <c r="O360">
        <v>1.37</v>
      </c>
      <c r="P360" s="25">
        <v>-0.1043</v>
      </c>
      <c r="Q360" s="25">
        <v>-0.60680000000000001</v>
      </c>
      <c r="R360" s="26">
        <v>169046</v>
      </c>
      <c r="S360" s="26">
        <v>128542000</v>
      </c>
      <c r="T360">
        <v>0.53</v>
      </c>
      <c r="U360" s="25">
        <v>0.87719999999999998</v>
      </c>
    </row>
    <row r="361" spans="1:21" x14ac:dyDescent="0.25">
      <c r="A361" t="s">
        <v>17</v>
      </c>
      <c r="B361">
        <v>5.07</v>
      </c>
      <c r="C361">
        <v>6.8</v>
      </c>
      <c r="D361">
        <v>1.23</v>
      </c>
      <c r="E361">
        <v>0.91300000000000003</v>
      </c>
      <c r="F361" s="25">
        <v>7.5899999999999995E-2</v>
      </c>
      <c r="G361">
        <v>0.64800000000000002</v>
      </c>
      <c r="H361">
        <v>1.48</v>
      </c>
      <c r="I361">
        <v>9.36</v>
      </c>
      <c r="J361">
        <v>3.84</v>
      </c>
      <c r="K361">
        <v>9.1300000000000008</v>
      </c>
      <c r="L361">
        <v>6.71</v>
      </c>
      <c r="M361" s="25">
        <v>9.7500000000000003E-2</v>
      </c>
      <c r="N361" s="25">
        <v>0.13420000000000001</v>
      </c>
      <c r="O361">
        <v>3.1</v>
      </c>
      <c r="P361" s="25">
        <v>0.111</v>
      </c>
      <c r="Q361" s="25">
        <v>0.18149999999999999</v>
      </c>
      <c r="R361" s="26">
        <v>2076630</v>
      </c>
      <c r="S361" s="26">
        <v>1468260000</v>
      </c>
      <c r="T361">
        <v>0.56999999999999995</v>
      </c>
      <c r="U361" s="25">
        <v>0.1152</v>
      </c>
    </row>
    <row r="362" spans="1:21" x14ac:dyDescent="0.25">
      <c r="A362" t="s">
        <v>215</v>
      </c>
      <c r="B362">
        <v>4.21</v>
      </c>
      <c r="C362">
        <v>-15.57</v>
      </c>
      <c r="D362">
        <v>1.3</v>
      </c>
      <c r="E362">
        <v>8.6999999999999994E-2</v>
      </c>
      <c r="F362" s="25">
        <v>1.67E-2</v>
      </c>
      <c r="G362">
        <v>4.3999999999999997E-2</v>
      </c>
      <c r="H362" s="26">
        <v>0.42</v>
      </c>
      <c r="I362">
        <v>0.51</v>
      </c>
      <c r="J362">
        <v>-7.0000000000000007E-2</v>
      </c>
      <c r="K362">
        <v>6.82</v>
      </c>
      <c r="L362">
        <v>4.3600000000000003</v>
      </c>
      <c r="M362" s="25">
        <v>0.1699</v>
      </c>
      <c r="N362" s="25">
        <v>4.0000000000000002E-4</v>
      </c>
      <c r="O362">
        <v>1.45</v>
      </c>
      <c r="P362" s="25">
        <v>0.1137</v>
      </c>
      <c r="Q362" s="25">
        <v>-8.3599999999999994E-2</v>
      </c>
      <c r="R362" s="26">
        <v>27007200</v>
      </c>
      <c r="S362" s="26">
        <v>2824120000</v>
      </c>
      <c r="T362">
        <v>20.98</v>
      </c>
      <c r="U362" s="25">
        <v>0.43680000000000002</v>
      </c>
    </row>
    <row r="363" spans="1:21" x14ac:dyDescent="0.25">
      <c r="A363" t="s">
        <v>10</v>
      </c>
      <c r="B363">
        <v>18.04</v>
      </c>
      <c r="C363">
        <v>10.71</v>
      </c>
      <c r="D363">
        <v>1.63</v>
      </c>
      <c r="E363">
        <v>0.92500000000000004</v>
      </c>
      <c r="F363" s="25">
        <v>3.0300000000000001E-2</v>
      </c>
      <c r="G363">
        <v>0.45800000000000002</v>
      </c>
      <c r="H363">
        <v>3.41</v>
      </c>
      <c r="I363">
        <v>4.2300000000000004</v>
      </c>
      <c r="J363">
        <v>-1.72</v>
      </c>
      <c r="K363">
        <v>6.91</v>
      </c>
      <c r="L363">
        <v>5.91</v>
      </c>
      <c r="M363" s="25">
        <v>0.21879999999999999</v>
      </c>
      <c r="N363" s="25">
        <v>8.8300000000000003E-2</v>
      </c>
      <c r="O363">
        <v>1.44</v>
      </c>
      <c r="P363" s="25">
        <v>0.1231</v>
      </c>
      <c r="Q363" s="25">
        <v>0.15210000000000001</v>
      </c>
      <c r="R363" s="26">
        <v>37879000</v>
      </c>
      <c r="S363" s="26">
        <v>4911400000</v>
      </c>
      <c r="T363">
        <v>1.29</v>
      </c>
      <c r="U363" s="25">
        <v>0.13589999999999999</v>
      </c>
    </row>
    <row r="364" spans="1:21" x14ac:dyDescent="0.25">
      <c r="A364" t="s">
        <v>50</v>
      </c>
      <c r="B364">
        <v>21.6</v>
      </c>
      <c r="C364">
        <v>27.82</v>
      </c>
      <c r="D364">
        <v>2.33</v>
      </c>
      <c r="E364">
        <v>2.1509999999999998</v>
      </c>
      <c r="F364" s="25">
        <v>2.6200000000000001E-2</v>
      </c>
      <c r="G364">
        <v>0.70699999999999996</v>
      </c>
      <c r="H364">
        <v>8.91</v>
      </c>
      <c r="I364">
        <v>9.32</v>
      </c>
      <c r="J364">
        <v>-1.51</v>
      </c>
      <c r="K364">
        <v>11.48</v>
      </c>
      <c r="L364">
        <v>5.52</v>
      </c>
      <c r="M364" s="25">
        <v>0.23089999999999999</v>
      </c>
      <c r="N364" s="25">
        <v>7.7899999999999997E-2</v>
      </c>
      <c r="O364">
        <v>1.53</v>
      </c>
      <c r="P364" s="25">
        <v>9.3399999999999997E-2</v>
      </c>
      <c r="Q364" s="25">
        <v>8.3900000000000002E-2</v>
      </c>
      <c r="R364" s="26">
        <v>95364000</v>
      </c>
      <c r="S364" s="26">
        <v>5527220000</v>
      </c>
      <c r="T364">
        <v>1.08</v>
      </c>
      <c r="U364" s="25">
        <v>0.54820000000000002</v>
      </c>
    </row>
    <row r="365" spans="1:21" x14ac:dyDescent="0.25">
      <c r="A365" t="s">
        <v>202</v>
      </c>
      <c r="B365">
        <v>17.899999999999999</v>
      </c>
      <c r="C365">
        <v>10.69</v>
      </c>
      <c r="D365">
        <v>0.89</v>
      </c>
      <c r="E365">
        <v>0.83099999999999996</v>
      </c>
      <c r="F365" s="25">
        <v>5.1499999999999997E-2</v>
      </c>
      <c r="G365">
        <v>0.27300000000000002</v>
      </c>
      <c r="H365">
        <v>1.6</v>
      </c>
      <c r="I365">
        <v>5.03</v>
      </c>
      <c r="J365">
        <v>-0.68</v>
      </c>
      <c r="K365">
        <v>11.66</v>
      </c>
      <c r="L365">
        <v>3.85</v>
      </c>
      <c r="M365" s="25">
        <v>0.1651</v>
      </c>
      <c r="N365" s="25">
        <v>7.7700000000000005E-2</v>
      </c>
      <c r="O365">
        <v>2.4300000000000002</v>
      </c>
      <c r="P365" s="25">
        <v>6.4699999999999994E-2</v>
      </c>
      <c r="Q365" s="25">
        <v>8.3099999999999993E-2</v>
      </c>
      <c r="R365" s="26">
        <v>31043700</v>
      </c>
      <c r="S365" s="26">
        <v>6699360000</v>
      </c>
      <c r="T365">
        <v>1.63</v>
      </c>
      <c r="U365" s="25">
        <v>0.128</v>
      </c>
    </row>
    <row r="366" spans="1:21" x14ac:dyDescent="0.25">
      <c r="A366" t="s">
        <v>175</v>
      </c>
      <c r="B366">
        <v>3.52</v>
      </c>
      <c r="C366">
        <v>-0.65</v>
      </c>
      <c r="D366">
        <v>-0.01</v>
      </c>
      <c r="E366">
        <v>2.8000000000000001E-2</v>
      </c>
      <c r="F366" s="25">
        <v>0</v>
      </c>
      <c r="G366">
        <v>4.7E-2</v>
      </c>
      <c r="H366">
        <v>-0.41</v>
      </c>
      <c r="I366">
        <v>1.23</v>
      </c>
      <c r="J366">
        <v>-0.01</v>
      </c>
      <c r="K366">
        <v>10.73</v>
      </c>
      <c r="L366">
        <v>5.91</v>
      </c>
      <c r="M366" s="25">
        <v>2.29E-2</v>
      </c>
      <c r="N366" s="25">
        <v>-4.1700000000000001E-2</v>
      </c>
      <c r="O366">
        <v>0.84</v>
      </c>
      <c r="P366" s="25">
        <v>4.4299999999999999E-2</v>
      </c>
      <c r="Q366" s="25">
        <v>2.0500000000000001E-2</v>
      </c>
      <c r="R366" s="26">
        <v>26325.5</v>
      </c>
      <c r="S366" s="26">
        <v>-2025590000</v>
      </c>
      <c r="T366">
        <v>-0.11</v>
      </c>
      <c r="U366" s="25">
        <v>0.1275</v>
      </c>
    </row>
    <row r="367" spans="1:21" x14ac:dyDescent="0.25">
      <c r="A367" t="s">
        <v>105</v>
      </c>
      <c r="B367">
        <v>10.53</v>
      </c>
      <c r="C367">
        <v>14.25</v>
      </c>
      <c r="D367">
        <v>1.06</v>
      </c>
      <c r="E367">
        <v>0.749</v>
      </c>
      <c r="F367" s="25">
        <v>2.8199999999999999E-2</v>
      </c>
      <c r="G367">
        <v>0.41</v>
      </c>
      <c r="H367">
        <v>0.8</v>
      </c>
      <c r="I367">
        <v>9.3699999999999992</v>
      </c>
      <c r="J367">
        <v>1.41</v>
      </c>
      <c r="K367">
        <v>9.09</v>
      </c>
      <c r="L367">
        <v>7.42</v>
      </c>
      <c r="M367" s="25">
        <v>7.9899999999999999E-2</v>
      </c>
      <c r="N367" s="25">
        <v>8.8900000000000007E-2</v>
      </c>
      <c r="O367">
        <v>3.46</v>
      </c>
      <c r="P367" s="25">
        <v>7.3999999999999996E-2</v>
      </c>
      <c r="Q367" s="25">
        <v>7.4200000000000002E-2</v>
      </c>
      <c r="R367" s="26">
        <v>4806650</v>
      </c>
      <c r="S367" s="26">
        <v>1347510000</v>
      </c>
      <c r="T367">
        <v>0.63</v>
      </c>
      <c r="U367" s="25">
        <v>0.33839999999999998</v>
      </c>
    </row>
    <row r="368" spans="1:21" x14ac:dyDescent="0.25">
      <c r="A368" t="s">
        <v>447</v>
      </c>
      <c r="B368">
        <v>44.96</v>
      </c>
      <c r="C368">
        <v>4.6399999999999997</v>
      </c>
      <c r="D368">
        <v>1.54</v>
      </c>
      <c r="E368">
        <v>0.53500000000000003</v>
      </c>
      <c r="F368" s="25">
        <v>0.13950000000000001</v>
      </c>
      <c r="G368">
        <v>0.94199999999999995</v>
      </c>
      <c r="H368">
        <v>3.25</v>
      </c>
      <c r="I368">
        <v>3.42</v>
      </c>
      <c r="J368">
        <v>5.51</v>
      </c>
      <c r="K368">
        <v>2.4500000000000002</v>
      </c>
      <c r="L368">
        <v>2.1</v>
      </c>
      <c r="M368" s="25">
        <v>0.15659999999999999</v>
      </c>
      <c r="N368" s="25">
        <v>0.1162</v>
      </c>
      <c r="O368">
        <v>2.0699999999999998</v>
      </c>
      <c r="P368" s="25">
        <v>0.38729999999999998</v>
      </c>
      <c r="Q368" s="25">
        <v>0.3327</v>
      </c>
      <c r="R368" s="26">
        <v>1030.05</v>
      </c>
      <c r="S368" s="26">
        <v>71604000</v>
      </c>
      <c r="T368">
        <v>0</v>
      </c>
      <c r="U368" s="25">
        <v>0.33150000000000002</v>
      </c>
    </row>
    <row r="369" spans="1:21" x14ac:dyDescent="0.25">
      <c r="A369" t="s">
        <v>448</v>
      </c>
      <c r="B369">
        <v>45.01</v>
      </c>
      <c r="C369">
        <v>4.6399999999999997</v>
      </c>
      <c r="D369">
        <v>1.55</v>
      </c>
      <c r="E369">
        <v>0.53600000000000003</v>
      </c>
      <c r="F369" s="25">
        <v>0.13930000000000001</v>
      </c>
      <c r="G369">
        <v>0.94299999999999995</v>
      </c>
      <c r="H369">
        <v>3.26</v>
      </c>
      <c r="I369">
        <v>3.42</v>
      </c>
      <c r="J369">
        <v>5.52</v>
      </c>
      <c r="K369">
        <v>2.46</v>
      </c>
      <c r="L369">
        <v>2.1</v>
      </c>
      <c r="M369" s="25">
        <v>0.15659999999999999</v>
      </c>
      <c r="N369" s="25">
        <v>0.1162</v>
      </c>
      <c r="O369">
        <v>2.0699999999999998</v>
      </c>
      <c r="P369" s="25">
        <v>0.38729999999999998</v>
      </c>
      <c r="Q369" s="25">
        <v>0.3327</v>
      </c>
      <c r="R369" s="26">
        <v>1970.43</v>
      </c>
      <c r="S369" s="26">
        <v>71604000</v>
      </c>
      <c r="T369">
        <v>0</v>
      </c>
      <c r="U369" s="25">
        <v>0.33150000000000002</v>
      </c>
    </row>
    <row r="370" spans="1:21" x14ac:dyDescent="0.25">
      <c r="A370" t="s">
        <v>449</v>
      </c>
      <c r="B370">
        <v>11.78</v>
      </c>
      <c r="C370" s="26">
        <v>1196.9000000000001</v>
      </c>
      <c r="D370">
        <v>1.35</v>
      </c>
      <c r="E370">
        <v>1.597</v>
      </c>
      <c r="F370" s="25">
        <v>0</v>
      </c>
      <c r="G370">
        <v>0.35499999999999998</v>
      </c>
      <c r="H370">
        <v>15.51</v>
      </c>
      <c r="I370">
        <v>6.23</v>
      </c>
      <c r="J370">
        <v>-0.62</v>
      </c>
      <c r="K370">
        <v>15.35</v>
      </c>
      <c r="L370">
        <v>9.16</v>
      </c>
      <c r="M370" s="25">
        <v>0.25619999999999998</v>
      </c>
      <c r="N370" s="25">
        <v>1.4E-3</v>
      </c>
      <c r="O370">
        <v>1.1599999999999999</v>
      </c>
      <c r="P370" s="25">
        <v>6.1699999999999998E-2</v>
      </c>
      <c r="Q370" s="25">
        <v>1.1000000000000001E-3</v>
      </c>
      <c r="R370" s="26">
        <v>68452700</v>
      </c>
      <c r="S370" s="26">
        <v>5443630000</v>
      </c>
      <c r="T370">
        <v>2.2000000000000002</v>
      </c>
      <c r="U370" s="25">
        <v>0.35930000000000001</v>
      </c>
    </row>
    <row r="371" spans="1:21" x14ac:dyDescent="0.25">
      <c r="A371" t="s">
        <v>63</v>
      </c>
      <c r="B371">
        <v>13.86</v>
      </c>
      <c r="C371">
        <v>15.11</v>
      </c>
      <c r="D371">
        <v>19.71</v>
      </c>
      <c r="E371">
        <v>3.8130000000000002</v>
      </c>
      <c r="F371" s="25">
        <v>0.18779999999999999</v>
      </c>
      <c r="G371">
        <v>2.2610000000000001</v>
      </c>
      <c r="H371" s="26">
        <v>2041.48</v>
      </c>
      <c r="I371">
        <v>8.84</v>
      </c>
      <c r="J371">
        <v>-3.12</v>
      </c>
      <c r="K371">
        <v>10.5</v>
      </c>
      <c r="L371">
        <v>8.76</v>
      </c>
      <c r="M371" s="25">
        <v>0.43120000000000003</v>
      </c>
      <c r="N371" s="25">
        <v>0.25230000000000002</v>
      </c>
      <c r="O371">
        <v>1.01</v>
      </c>
      <c r="P371" s="25">
        <v>0.28449999999999998</v>
      </c>
      <c r="Q371" s="25">
        <v>1.3043</v>
      </c>
      <c r="R371" s="26">
        <v>51013100</v>
      </c>
      <c r="S371" s="26">
        <v>607731000</v>
      </c>
      <c r="T371">
        <v>4.32</v>
      </c>
      <c r="U371" s="25">
        <v>0.29670000000000002</v>
      </c>
    </row>
    <row r="372" spans="1:21" x14ac:dyDescent="0.25">
      <c r="A372" t="s">
        <v>91</v>
      </c>
      <c r="B372">
        <v>51.75</v>
      </c>
      <c r="C372" s="26">
        <v>-68.61</v>
      </c>
      <c r="D372">
        <v>1.7</v>
      </c>
      <c r="E372">
        <v>1.3220000000000001</v>
      </c>
      <c r="F372" s="25">
        <v>3.9E-2</v>
      </c>
      <c r="G372">
        <v>0.42099999999999999</v>
      </c>
      <c r="H372">
        <v>3.07</v>
      </c>
      <c r="I372">
        <v>4.5999999999999996</v>
      </c>
      <c r="J372">
        <v>-0.8</v>
      </c>
      <c r="K372">
        <v>9.84</v>
      </c>
      <c r="L372">
        <v>5.84</v>
      </c>
      <c r="M372" s="25">
        <v>0.28760000000000002</v>
      </c>
      <c r="N372" s="25">
        <v>-1.8499999999999999E-2</v>
      </c>
      <c r="O372">
        <v>2.61</v>
      </c>
      <c r="P372" s="25">
        <v>0.1069</v>
      </c>
      <c r="Q372" s="25">
        <v>-2.4799999999999999E-2</v>
      </c>
      <c r="R372" s="26">
        <v>304271000</v>
      </c>
      <c r="S372" s="26">
        <v>38398300000</v>
      </c>
      <c r="T372">
        <v>2.37</v>
      </c>
      <c r="U372" s="25">
        <v>7.8100000000000003E-2</v>
      </c>
    </row>
    <row r="373" spans="1:21" x14ac:dyDescent="0.25">
      <c r="A373" t="s">
        <v>234</v>
      </c>
      <c r="B373">
        <v>6.6</v>
      </c>
      <c r="C373">
        <v>1.8</v>
      </c>
      <c r="D373">
        <v>0.92</v>
      </c>
      <c r="E373">
        <v>0.75800000000000001</v>
      </c>
      <c r="F373" s="25">
        <v>1.0621</v>
      </c>
      <c r="G373">
        <v>0.318</v>
      </c>
      <c r="H373" s="26">
        <v>1.03</v>
      </c>
      <c r="I373">
        <v>2.15</v>
      </c>
      <c r="J373">
        <v>-8.4499999999999993</v>
      </c>
      <c r="K373">
        <v>3</v>
      </c>
      <c r="L373">
        <v>2.57</v>
      </c>
      <c r="M373" s="25">
        <v>0.3533</v>
      </c>
      <c r="N373" s="25">
        <v>0.50480000000000003</v>
      </c>
      <c r="O373">
        <v>5.43</v>
      </c>
      <c r="P373" s="25">
        <v>0.1726</v>
      </c>
      <c r="Q373" s="25">
        <v>0.51129999999999998</v>
      </c>
      <c r="R373" s="26">
        <v>3141270</v>
      </c>
      <c r="S373" s="26">
        <v>1091940000</v>
      </c>
      <c r="T373">
        <v>0.77</v>
      </c>
      <c r="U373" s="25">
        <v>3.9E-2</v>
      </c>
    </row>
    <row r="374" spans="1:21" x14ac:dyDescent="0.25">
      <c r="A374" t="s">
        <v>450</v>
      </c>
      <c r="B374">
        <v>33.700000000000003</v>
      </c>
      <c r="C374">
        <v>6.89</v>
      </c>
      <c r="D374">
        <v>1.59</v>
      </c>
      <c r="E374">
        <v>2.9249999999999998</v>
      </c>
      <c r="F374" s="25">
        <v>8.1299999999999997E-2</v>
      </c>
      <c r="G374">
        <v>0.55200000000000005</v>
      </c>
      <c r="H374">
        <v>8.09</v>
      </c>
      <c r="I374">
        <v>5.18</v>
      </c>
      <c r="J374">
        <v>-1.0900000000000001</v>
      </c>
      <c r="K374">
        <v>9.39</v>
      </c>
      <c r="L374">
        <v>9.27</v>
      </c>
      <c r="M374" s="25">
        <v>0.56499999999999995</v>
      </c>
      <c r="N374" s="25">
        <v>0.42449999999999999</v>
      </c>
      <c r="O374">
        <v>1.85</v>
      </c>
      <c r="P374" s="25">
        <v>0.1118</v>
      </c>
      <c r="Q374" s="25">
        <v>0.23089999999999999</v>
      </c>
      <c r="R374" s="26">
        <v>51535400</v>
      </c>
      <c r="S374" s="26">
        <v>7297940000</v>
      </c>
      <c r="T374">
        <v>1.41</v>
      </c>
      <c r="U374" s="25">
        <v>1.11E-2</v>
      </c>
    </row>
    <row r="375" spans="1:21" x14ac:dyDescent="0.25">
      <c r="A375" t="s">
        <v>267</v>
      </c>
      <c r="B375">
        <v>11.23</v>
      </c>
      <c r="C375">
        <v>6.89</v>
      </c>
      <c r="D375">
        <v>1.59</v>
      </c>
      <c r="E375">
        <v>2.9239999999999999</v>
      </c>
      <c r="F375" s="25">
        <v>8.1299999999999997E-2</v>
      </c>
      <c r="G375">
        <v>0.55200000000000005</v>
      </c>
      <c r="H375">
        <v>8.08</v>
      </c>
      <c r="I375">
        <v>5.17</v>
      </c>
      <c r="J375">
        <v>-1.0900000000000001</v>
      </c>
      <c r="K375">
        <v>9.39</v>
      </c>
      <c r="L375">
        <v>9.27</v>
      </c>
      <c r="M375" s="25">
        <v>0.56499999999999995</v>
      </c>
      <c r="N375" s="25">
        <v>0.42449999999999999</v>
      </c>
      <c r="O375">
        <v>1.85</v>
      </c>
      <c r="P375" s="25">
        <v>0.1118</v>
      </c>
      <c r="Q375" s="25">
        <v>0.23089999999999999</v>
      </c>
      <c r="R375" s="26">
        <v>721959</v>
      </c>
      <c r="S375" s="26">
        <v>7297940000</v>
      </c>
      <c r="T375">
        <v>1.41</v>
      </c>
      <c r="U375" s="25">
        <v>1.11E-2</v>
      </c>
    </row>
    <row r="376" spans="1:21" x14ac:dyDescent="0.25">
      <c r="A376" t="s">
        <v>53</v>
      </c>
      <c r="B376">
        <v>11.25</v>
      </c>
      <c r="C376">
        <v>6.9</v>
      </c>
      <c r="D376">
        <v>1.59</v>
      </c>
      <c r="E376">
        <v>2.9289999999999998</v>
      </c>
      <c r="F376" s="25">
        <v>8.1199999999999994E-2</v>
      </c>
      <c r="G376">
        <v>0.55300000000000005</v>
      </c>
      <c r="H376">
        <v>8.1</v>
      </c>
      <c r="I376">
        <v>5.18</v>
      </c>
      <c r="J376">
        <v>-1.1000000000000001</v>
      </c>
      <c r="K376">
        <v>9.4</v>
      </c>
      <c r="L376">
        <v>9.2799999999999994</v>
      </c>
      <c r="M376" s="25">
        <v>0.56499999999999995</v>
      </c>
      <c r="N376" s="25">
        <v>0.42449999999999999</v>
      </c>
      <c r="O376">
        <v>1.85</v>
      </c>
      <c r="P376" s="25">
        <v>0.1118</v>
      </c>
      <c r="Q376" s="25">
        <v>0.23089999999999999</v>
      </c>
      <c r="R376" s="26">
        <v>1433720</v>
      </c>
      <c r="S376" s="26">
        <v>7297940000</v>
      </c>
      <c r="T376">
        <v>1.41</v>
      </c>
      <c r="U376" s="25">
        <v>1.11E-2</v>
      </c>
    </row>
    <row r="377" spans="1:21" x14ac:dyDescent="0.25">
      <c r="A377" t="s">
        <v>199</v>
      </c>
      <c r="B377">
        <v>6.39</v>
      </c>
      <c r="C377">
        <v>11.67</v>
      </c>
      <c r="D377">
        <v>0.7</v>
      </c>
      <c r="E377">
        <v>0.56599999999999995</v>
      </c>
      <c r="F377" s="25">
        <v>2.8799999999999999E-2</v>
      </c>
      <c r="G377">
        <v>0.35099999999999998</v>
      </c>
      <c r="H377">
        <v>1.48</v>
      </c>
      <c r="I377">
        <v>8.5500000000000007</v>
      </c>
      <c r="J377">
        <v>4.59</v>
      </c>
      <c r="K377">
        <v>13.7</v>
      </c>
      <c r="L377">
        <v>9.5</v>
      </c>
      <c r="M377" s="25">
        <v>6.6199999999999995E-2</v>
      </c>
      <c r="N377" s="25">
        <v>4.8500000000000001E-2</v>
      </c>
      <c r="O377">
        <v>1.7</v>
      </c>
      <c r="P377" s="25">
        <v>4.7100000000000003E-2</v>
      </c>
      <c r="Q377" s="25">
        <v>6.0100000000000001E-2</v>
      </c>
      <c r="R377" s="26">
        <v>73434.2</v>
      </c>
      <c r="S377" s="26">
        <v>1268180000</v>
      </c>
      <c r="T377">
        <v>0.59</v>
      </c>
      <c r="U377" s="25">
        <v>-9.3700000000000006E-2</v>
      </c>
    </row>
    <row r="378" spans="1:21" x14ac:dyDescent="0.25">
      <c r="A378" t="s">
        <v>174</v>
      </c>
      <c r="B378">
        <v>5.27</v>
      </c>
      <c r="C378">
        <v>9.6199999999999992</v>
      </c>
      <c r="D378">
        <v>0.57999999999999996</v>
      </c>
      <c r="E378">
        <v>0.46700000000000003</v>
      </c>
      <c r="F378" s="25">
        <v>3.5000000000000003E-2</v>
      </c>
      <c r="G378">
        <v>0.28899999999999998</v>
      </c>
      <c r="H378">
        <v>1.22</v>
      </c>
      <c r="I378">
        <v>7.05</v>
      </c>
      <c r="J378">
        <v>3.78</v>
      </c>
      <c r="K378">
        <v>12.2</v>
      </c>
      <c r="L378">
        <v>8.4600000000000009</v>
      </c>
      <c r="M378" s="25">
        <v>6.6199999999999995E-2</v>
      </c>
      <c r="N378" s="25">
        <v>4.8500000000000001E-2</v>
      </c>
      <c r="O378">
        <v>1.7</v>
      </c>
      <c r="P378" s="25">
        <v>4.7100000000000003E-2</v>
      </c>
      <c r="Q378" s="25">
        <v>6.0100000000000001E-2</v>
      </c>
      <c r="R378" s="26">
        <v>1912790</v>
      </c>
      <c r="S378" s="26">
        <v>1268180000</v>
      </c>
      <c r="T378">
        <v>0.59</v>
      </c>
      <c r="U378" s="25">
        <v>-9.3700000000000006E-2</v>
      </c>
    </row>
    <row r="379" spans="1:21" x14ac:dyDescent="0.25">
      <c r="A379" t="s">
        <v>257</v>
      </c>
      <c r="B379">
        <v>1.75</v>
      </c>
      <c r="C379">
        <v>-0.95</v>
      </c>
      <c r="D379">
        <v>0.34</v>
      </c>
      <c r="E379">
        <v>0.3</v>
      </c>
      <c r="F379" s="25">
        <v>0</v>
      </c>
      <c r="G379">
        <v>0.10299999999999999</v>
      </c>
      <c r="H379">
        <v>3.99</v>
      </c>
      <c r="I379">
        <v>-1.1499999999999999</v>
      </c>
      <c r="J379">
        <v>-0.31</v>
      </c>
      <c r="K379">
        <v>-5.15</v>
      </c>
      <c r="L379">
        <v>-5.53</v>
      </c>
      <c r="M379" s="25">
        <v>-0.26050000000000001</v>
      </c>
      <c r="N379" s="25">
        <v>-0.32219999999999999</v>
      </c>
      <c r="O379">
        <v>1.08</v>
      </c>
      <c r="P379" s="25">
        <v>-0.10299999999999999</v>
      </c>
      <c r="Q379" s="25">
        <v>-0.3579</v>
      </c>
      <c r="R379" s="26">
        <v>311579</v>
      </c>
      <c r="S379" s="26">
        <v>378640000</v>
      </c>
      <c r="T379">
        <v>1.57</v>
      </c>
      <c r="U379" s="25">
        <v>0.31459999999999999</v>
      </c>
    </row>
    <row r="380" spans="1:21" x14ac:dyDescent="0.25">
      <c r="A380" t="s">
        <v>201</v>
      </c>
      <c r="B380">
        <v>6.31</v>
      </c>
      <c r="C380">
        <v>6.15</v>
      </c>
      <c r="D380">
        <v>0.96</v>
      </c>
      <c r="E380">
        <v>0.93300000000000005</v>
      </c>
      <c r="F380" s="25">
        <v>3.9199999999999999E-2</v>
      </c>
      <c r="G380">
        <v>0.56899999999999995</v>
      </c>
      <c r="H380">
        <v>1.24</v>
      </c>
      <c r="I380">
        <v>5.03</v>
      </c>
      <c r="J380">
        <v>2.1800000000000002</v>
      </c>
      <c r="K380">
        <v>5.19</v>
      </c>
      <c r="L380">
        <v>5.99</v>
      </c>
      <c r="M380" s="25">
        <v>0.18540000000000001</v>
      </c>
      <c r="N380" s="25">
        <v>0.1517</v>
      </c>
      <c r="O380">
        <v>3.2</v>
      </c>
      <c r="P380" s="25">
        <v>0.1444</v>
      </c>
      <c r="Q380" s="25">
        <v>0.15529999999999999</v>
      </c>
      <c r="R380" s="26">
        <v>633380</v>
      </c>
      <c r="S380" s="26">
        <v>408423000</v>
      </c>
      <c r="T380">
        <v>0.25</v>
      </c>
      <c r="U380" s="25">
        <v>0.1166</v>
      </c>
    </row>
    <row r="381" spans="1:21" x14ac:dyDescent="0.25">
      <c r="A381" t="s">
        <v>451</v>
      </c>
      <c r="B381">
        <v>12.36</v>
      </c>
      <c r="C381">
        <v>208.52</v>
      </c>
      <c r="D381">
        <v>0.79</v>
      </c>
      <c r="E381">
        <v>2.57</v>
      </c>
      <c r="F381" s="25">
        <v>0</v>
      </c>
      <c r="G381">
        <v>0.28100000000000003</v>
      </c>
      <c r="H381">
        <v>0.71</v>
      </c>
      <c r="I381">
        <v>-3.75</v>
      </c>
      <c r="J381">
        <v>-1.6</v>
      </c>
      <c r="K381">
        <v>0.45</v>
      </c>
      <c r="L381">
        <v>4.1100000000000003</v>
      </c>
      <c r="M381" s="25">
        <v>-0.68459999999999999</v>
      </c>
      <c r="N381" s="25">
        <v>1.23E-2</v>
      </c>
      <c r="O381">
        <v>6.45</v>
      </c>
      <c r="P381" s="25">
        <v>-0.1178</v>
      </c>
      <c r="Q381" s="25">
        <v>3.8E-3</v>
      </c>
      <c r="R381" s="26">
        <v>31367.1</v>
      </c>
      <c r="S381" s="26">
        <v>1467590000</v>
      </c>
      <c r="T381">
        <v>0.01</v>
      </c>
      <c r="U381" s="25">
        <v>0.1429</v>
      </c>
    </row>
    <row r="382" spans="1:21" x14ac:dyDescent="0.25">
      <c r="A382" t="s">
        <v>14</v>
      </c>
      <c r="B382">
        <v>7.65</v>
      </c>
      <c r="C382">
        <v>129.06</v>
      </c>
      <c r="D382">
        <v>0.49</v>
      </c>
      <c r="E382">
        <v>1.591</v>
      </c>
      <c r="F382" s="25">
        <v>0</v>
      </c>
      <c r="G382">
        <v>0.17399999999999999</v>
      </c>
      <c r="H382">
        <v>0.44</v>
      </c>
      <c r="I382">
        <v>-2.3199999999999998</v>
      </c>
      <c r="J382">
        <v>-0.99</v>
      </c>
      <c r="K382">
        <v>1.88</v>
      </c>
      <c r="L382">
        <v>17.05</v>
      </c>
      <c r="M382" s="25">
        <v>-0.68459999999999999</v>
      </c>
      <c r="N382" s="25">
        <v>1.23E-2</v>
      </c>
      <c r="O382">
        <v>6.45</v>
      </c>
      <c r="P382" s="25">
        <v>-0.1178</v>
      </c>
      <c r="Q382" s="25">
        <v>3.8E-3</v>
      </c>
      <c r="R382" s="26">
        <v>41124.6</v>
      </c>
      <c r="S382" s="26">
        <v>1467590000</v>
      </c>
      <c r="T382">
        <v>0.01</v>
      </c>
      <c r="U382" s="25">
        <v>0.1429</v>
      </c>
    </row>
    <row r="383" spans="1:21" x14ac:dyDescent="0.25">
      <c r="A383" t="s">
        <v>64</v>
      </c>
      <c r="B383">
        <v>22.16</v>
      </c>
      <c r="C383">
        <v>14.49</v>
      </c>
      <c r="D383">
        <v>2.5099999999999998</v>
      </c>
      <c r="E383">
        <v>0.79800000000000004</v>
      </c>
      <c r="F383" s="25">
        <v>7.7000000000000002E-3</v>
      </c>
      <c r="G383">
        <v>0.52900000000000003</v>
      </c>
      <c r="H383">
        <v>2.0499999999999998</v>
      </c>
      <c r="I383">
        <v>6.19</v>
      </c>
      <c r="J383">
        <v>-2.73</v>
      </c>
      <c r="K383">
        <v>7.2</v>
      </c>
      <c r="L383">
        <v>6.22</v>
      </c>
      <c r="M383" s="25">
        <v>0.12889999999999999</v>
      </c>
      <c r="N383" s="25">
        <v>5.0799999999999998E-2</v>
      </c>
      <c r="O383">
        <v>1.77</v>
      </c>
      <c r="P383" s="25">
        <v>0.1028</v>
      </c>
      <c r="Q383" s="25">
        <v>0.17299999999999999</v>
      </c>
      <c r="R383" s="26">
        <v>39394100</v>
      </c>
      <c r="S383" s="26">
        <v>1083720000</v>
      </c>
      <c r="T383">
        <v>0.95</v>
      </c>
      <c r="U383" s="25">
        <v>8.5000000000000006E-2</v>
      </c>
    </row>
    <row r="384" spans="1:21" x14ac:dyDescent="0.25">
      <c r="A384" t="s">
        <v>154</v>
      </c>
      <c r="B384">
        <v>14.2</v>
      </c>
      <c r="C384">
        <v>17.25</v>
      </c>
      <c r="D384">
        <v>4.5</v>
      </c>
      <c r="E384">
        <v>2.4660000000000002</v>
      </c>
      <c r="F384" s="25">
        <v>1.7100000000000001E-2</v>
      </c>
      <c r="G384">
        <v>2.6230000000000002</v>
      </c>
      <c r="H384">
        <v>6.01</v>
      </c>
      <c r="I384">
        <v>12.34</v>
      </c>
      <c r="J384">
        <v>9.59</v>
      </c>
      <c r="K384">
        <v>12.89</v>
      </c>
      <c r="L384">
        <v>11.75</v>
      </c>
      <c r="M384" s="25">
        <v>0.19980000000000001</v>
      </c>
      <c r="N384" s="25">
        <v>0.14299999999999999</v>
      </c>
      <c r="O384">
        <v>2.72</v>
      </c>
      <c r="P384" s="25">
        <v>0.25069999999999998</v>
      </c>
      <c r="Q384" s="25">
        <v>0.2606</v>
      </c>
      <c r="R384" s="26">
        <v>6789090</v>
      </c>
      <c r="S384" s="26">
        <v>484021000</v>
      </c>
      <c r="T384">
        <v>0.3</v>
      </c>
      <c r="U384" s="25">
        <v>0.31109999999999999</v>
      </c>
    </row>
    <row r="385" spans="1:21" x14ac:dyDescent="0.25">
      <c r="A385" t="s">
        <v>68</v>
      </c>
      <c r="B385">
        <v>34.79</v>
      </c>
      <c r="C385">
        <v>8.31</v>
      </c>
      <c r="D385">
        <v>2.38</v>
      </c>
      <c r="E385">
        <v>1.0720000000000001</v>
      </c>
      <c r="F385" s="25">
        <v>7.4200000000000002E-2</v>
      </c>
      <c r="G385">
        <v>1.702</v>
      </c>
      <c r="H385">
        <v>4.72</v>
      </c>
      <c r="I385">
        <v>6.51</v>
      </c>
      <c r="J385">
        <v>7.09</v>
      </c>
      <c r="K385">
        <v>6.11</v>
      </c>
      <c r="L385">
        <v>5.67</v>
      </c>
      <c r="M385" s="25">
        <v>0.16470000000000001</v>
      </c>
      <c r="N385" s="25">
        <v>0.1293</v>
      </c>
      <c r="O385">
        <v>3.2</v>
      </c>
      <c r="P385" s="25">
        <v>0.36659999999999998</v>
      </c>
      <c r="Q385" s="25">
        <v>0.28620000000000001</v>
      </c>
      <c r="R385" s="26">
        <v>10310400</v>
      </c>
      <c r="S385" s="26">
        <v>965143000</v>
      </c>
      <c r="T385">
        <v>0.21</v>
      </c>
      <c r="U385" s="25">
        <v>0.23</v>
      </c>
    </row>
    <row r="386" spans="1:21" x14ac:dyDescent="0.25">
      <c r="A386" t="s">
        <v>140</v>
      </c>
      <c r="B386">
        <v>20</v>
      </c>
      <c r="C386">
        <v>174.03</v>
      </c>
      <c r="D386">
        <v>1.98</v>
      </c>
      <c r="E386">
        <v>162.40899999999999</v>
      </c>
      <c r="F386" s="25">
        <v>8.2400000000000001E-2</v>
      </c>
      <c r="G386">
        <v>0.85799999999999998</v>
      </c>
      <c r="H386">
        <v>-27.34</v>
      </c>
      <c r="I386">
        <v>309.45999999999998</v>
      </c>
      <c r="J386">
        <v>-2.54</v>
      </c>
      <c r="K386">
        <v>294.64</v>
      </c>
      <c r="L386">
        <v>312.27999999999997</v>
      </c>
      <c r="M386" s="25">
        <v>0.52480000000000004</v>
      </c>
      <c r="N386" s="25">
        <v>0.93320000000000003</v>
      </c>
      <c r="O386">
        <v>0.88</v>
      </c>
      <c r="P386" s="25">
        <v>3.3999999999999998E-3</v>
      </c>
      <c r="Q386" s="25">
        <v>1.14E-2</v>
      </c>
      <c r="R386" s="26">
        <v>135686000</v>
      </c>
      <c r="S386" s="26">
        <v>24455500000</v>
      </c>
      <c r="T386">
        <v>0.12</v>
      </c>
      <c r="U386" s="25">
        <v>-0.54420000000000002</v>
      </c>
    </row>
    <row r="387" spans="1:21" x14ac:dyDescent="0.25">
      <c r="A387" t="s">
        <v>452</v>
      </c>
      <c r="B387">
        <v>77.709999999999994</v>
      </c>
      <c r="C387">
        <v>4.7699999999999996</v>
      </c>
      <c r="D387">
        <v>0.71</v>
      </c>
      <c r="E387">
        <v>0.76900000000000002</v>
      </c>
      <c r="F387" s="25">
        <v>9.0700000000000003E-2</v>
      </c>
      <c r="G387">
        <v>0.55900000000000005</v>
      </c>
      <c r="H387">
        <v>1.33</v>
      </c>
      <c r="I387">
        <v>5.33</v>
      </c>
      <c r="J387">
        <v>1.45</v>
      </c>
      <c r="K387">
        <v>3.73</v>
      </c>
      <c r="L387">
        <v>3.16</v>
      </c>
      <c r="M387" s="25">
        <v>0.1444</v>
      </c>
      <c r="N387" s="25">
        <v>0.16120000000000001</v>
      </c>
      <c r="O387">
        <v>3.45</v>
      </c>
      <c r="P387" s="25">
        <v>0.1416</v>
      </c>
      <c r="Q387" s="25">
        <v>0.1479</v>
      </c>
      <c r="R387" s="26">
        <v>2737.52</v>
      </c>
      <c r="S387" s="26">
        <v>324623000</v>
      </c>
      <c r="T387">
        <v>0.01</v>
      </c>
      <c r="U387" s="25">
        <v>6.6100000000000006E-2</v>
      </c>
    </row>
    <row r="388" spans="1:21" x14ac:dyDescent="0.25">
      <c r="A388" t="s">
        <v>912</v>
      </c>
      <c r="B388">
        <v>0.99</v>
      </c>
      <c r="C388">
        <v>-0.76</v>
      </c>
      <c r="D388">
        <v>0.37</v>
      </c>
      <c r="E388">
        <v>0.11600000000000001</v>
      </c>
      <c r="F388" s="25">
        <v>0</v>
      </c>
      <c r="G388">
        <v>6.3E-2</v>
      </c>
      <c r="H388">
        <v>1.79</v>
      </c>
      <c r="I388">
        <v>-2.19</v>
      </c>
      <c r="J388">
        <v>-0.11</v>
      </c>
      <c r="K388">
        <v>-12.97</v>
      </c>
      <c r="L388">
        <v>10.220000000000001</v>
      </c>
      <c r="M388" s="25">
        <v>-5.2900000000000003E-2</v>
      </c>
      <c r="N388" s="25">
        <v>-0.1782</v>
      </c>
      <c r="O388">
        <v>1.1200000000000001</v>
      </c>
      <c r="P388" s="25">
        <v>-3.2099999999999997E-2</v>
      </c>
      <c r="Q388" s="25">
        <v>-0.49370000000000003</v>
      </c>
      <c r="R388" s="26">
        <v>521977</v>
      </c>
      <c r="S388" s="26">
        <v>324818000</v>
      </c>
      <c r="T388">
        <v>1.94</v>
      </c>
      <c r="U388" s="25">
        <v>6.8500000000000005E-2</v>
      </c>
    </row>
    <row r="389" spans="1:21" x14ac:dyDescent="0.25">
      <c r="A389" t="s">
        <v>32</v>
      </c>
      <c r="B389">
        <v>42.87</v>
      </c>
      <c r="C389">
        <v>32.71</v>
      </c>
      <c r="D389">
        <v>5.35</v>
      </c>
      <c r="E389">
        <v>4.7249999999999996</v>
      </c>
      <c r="F389" s="25">
        <v>1.7600000000000001E-2</v>
      </c>
      <c r="G389">
        <v>2.9590000000000001</v>
      </c>
      <c r="H389">
        <v>14.57</v>
      </c>
      <c r="I389">
        <v>12.83</v>
      </c>
      <c r="J389">
        <v>-39.39</v>
      </c>
      <c r="K389">
        <v>12.67</v>
      </c>
      <c r="L389">
        <v>10.84</v>
      </c>
      <c r="M389" s="25">
        <v>0.36840000000000001</v>
      </c>
      <c r="N389" s="25">
        <v>0.14829999999999999</v>
      </c>
      <c r="O389">
        <v>2.52</v>
      </c>
      <c r="P389" s="25">
        <v>0.30780000000000002</v>
      </c>
      <c r="Q389" s="25">
        <v>0.16370000000000001</v>
      </c>
      <c r="R389" s="26">
        <v>137309000</v>
      </c>
      <c r="S389" s="26">
        <v>4799780000</v>
      </c>
      <c r="T389">
        <v>0.34</v>
      </c>
      <c r="U389" s="25">
        <v>0.18229999999999999</v>
      </c>
    </row>
    <row r="390" spans="1:21" x14ac:dyDescent="0.25">
      <c r="A390" t="s">
        <v>173</v>
      </c>
      <c r="B390">
        <v>4.03</v>
      </c>
      <c r="C390">
        <v>8.7799999999999994</v>
      </c>
      <c r="D390">
        <v>0.19</v>
      </c>
      <c r="E390">
        <v>0.13700000000000001</v>
      </c>
      <c r="F390" s="25">
        <v>5.7200000000000001E-2</v>
      </c>
      <c r="G390">
        <v>6.5000000000000002E-2</v>
      </c>
      <c r="H390">
        <v>-0.15</v>
      </c>
      <c r="I390">
        <v>0.74</v>
      </c>
      <c r="J390">
        <v>-0.11</v>
      </c>
      <c r="K390">
        <v>6.25</v>
      </c>
      <c r="L390">
        <v>3.8</v>
      </c>
      <c r="M390" s="25">
        <v>0.185</v>
      </c>
      <c r="N390" s="25">
        <v>2.9999999999999997E-4</v>
      </c>
      <c r="O390">
        <v>0.13</v>
      </c>
      <c r="P390" s="25">
        <v>9.3100000000000002E-2</v>
      </c>
      <c r="Q390" s="25">
        <v>2.2100000000000002E-2</v>
      </c>
      <c r="R390" s="26">
        <v>40894.5</v>
      </c>
      <c r="S390" s="26">
        <v>912716000</v>
      </c>
      <c r="T390">
        <v>1.5</v>
      </c>
      <c r="U390" s="25">
        <v>7.6100000000000001E-2</v>
      </c>
    </row>
    <row r="391" spans="1:21" x14ac:dyDescent="0.25">
      <c r="A391" t="s">
        <v>189</v>
      </c>
      <c r="B391">
        <v>7.45</v>
      </c>
      <c r="C391">
        <v>-3.47</v>
      </c>
      <c r="D391">
        <v>1.59</v>
      </c>
      <c r="E391">
        <v>7.1740000000000004</v>
      </c>
      <c r="F391" s="25">
        <v>0</v>
      </c>
      <c r="G391">
        <v>1.458</v>
      </c>
      <c r="H391">
        <v>6.76</v>
      </c>
      <c r="I391">
        <v>-5.99</v>
      </c>
      <c r="J391">
        <v>7.4</v>
      </c>
      <c r="K391">
        <v>-5.47</v>
      </c>
      <c r="L391">
        <v>-7.27</v>
      </c>
      <c r="M391" s="25">
        <v>-1.1986000000000001</v>
      </c>
      <c r="N391" s="25">
        <v>-2.0678999999999998</v>
      </c>
      <c r="O391">
        <v>4.05</v>
      </c>
      <c r="P391" s="25">
        <v>-0.28270000000000001</v>
      </c>
      <c r="Q391" s="25">
        <v>-0.45900000000000002</v>
      </c>
      <c r="R391" s="26">
        <v>269373</v>
      </c>
      <c r="S391" s="26">
        <v>186999000</v>
      </c>
      <c r="T391">
        <v>0.01</v>
      </c>
      <c r="U391" s="25">
        <v>-0.26050000000000001</v>
      </c>
    </row>
    <row r="392" spans="1:21" x14ac:dyDescent="0.25">
      <c r="A392" t="s">
        <v>117</v>
      </c>
      <c r="B392">
        <v>6.29</v>
      </c>
      <c r="C392">
        <v>6.44</v>
      </c>
      <c r="D392">
        <v>0.78</v>
      </c>
      <c r="E392">
        <v>0.89200000000000002</v>
      </c>
      <c r="F392" s="25">
        <v>4.7800000000000002E-2</v>
      </c>
      <c r="G392">
        <v>0.376</v>
      </c>
      <c r="H392">
        <v>0.62</v>
      </c>
      <c r="I392">
        <v>6.19</v>
      </c>
      <c r="J392">
        <v>1.1399999999999999</v>
      </c>
      <c r="K392">
        <v>8.07</v>
      </c>
      <c r="L392">
        <v>6.96</v>
      </c>
      <c r="M392" s="25">
        <v>0.14410000000000001</v>
      </c>
      <c r="N392" s="25">
        <v>0.1419</v>
      </c>
      <c r="O392">
        <v>3.57</v>
      </c>
      <c r="P392" s="25">
        <v>7.4899999999999994E-2</v>
      </c>
      <c r="Q392" s="25">
        <v>0.1216</v>
      </c>
      <c r="R392" s="26">
        <v>3606510</v>
      </c>
      <c r="S392" s="26">
        <v>1500220000</v>
      </c>
      <c r="T392">
        <v>0.59</v>
      </c>
      <c r="U392" s="25">
        <v>0.12130000000000001</v>
      </c>
    </row>
    <row r="393" spans="1:21" x14ac:dyDescent="0.25">
      <c r="A393" t="s">
        <v>453</v>
      </c>
      <c r="B393">
        <v>13.63</v>
      </c>
      <c r="C393">
        <v>8.58</v>
      </c>
      <c r="D393">
        <v>1.64</v>
      </c>
      <c r="E393">
        <v>0.499</v>
      </c>
      <c r="F393" s="25">
        <v>1.4E-2</v>
      </c>
      <c r="G393">
        <v>0.69199999999999995</v>
      </c>
      <c r="H393">
        <v>3.43</v>
      </c>
      <c r="I393">
        <v>5.68</v>
      </c>
      <c r="J393">
        <v>9</v>
      </c>
      <c r="K393">
        <v>6.14</v>
      </c>
      <c r="L393">
        <v>5.67</v>
      </c>
      <c r="M393" s="25">
        <v>8.7800000000000003E-2</v>
      </c>
      <c r="N393" s="25">
        <v>5.8099999999999999E-2</v>
      </c>
      <c r="O393">
        <v>1.45</v>
      </c>
      <c r="P393" s="25">
        <v>0.23599999999999999</v>
      </c>
      <c r="Q393" s="25">
        <v>0.19109999999999999</v>
      </c>
      <c r="R393" s="26">
        <v>24898400</v>
      </c>
      <c r="S393" s="26">
        <v>4153040000</v>
      </c>
      <c r="T393">
        <v>0.53</v>
      </c>
      <c r="U393" s="25">
        <v>0.32719999999999999</v>
      </c>
    </row>
    <row r="394" spans="1:21" x14ac:dyDescent="0.25">
      <c r="A394" t="s">
        <v>160</v>
      </c>
      <c r="B394">
        <v>17.18</v>
      </c>
      <c r="C394">
        <v>-53.2</v>
      </c>
      <c r="D394">
        <v>0.69</v>
      </c>
      <c r="E394">
        <v>0.216</v>
      </c>
      <c r="F394" s="25">
        <v>8.8200000000000001E-2</v>
      </c>
      <c r="G394">
        <v>0.21299999999999999</v>
      </c>
      <c r="H394">
        <v>0.57999999999999996</v>
      </c>
      <c r="I394">
        <v>2.69</v>
      </c>
      <c r="J394">
        <v>-4.1500000000000004</v>
      </c>
      <c r="K394">
        <v>5.69</v>
      </c>
      <c r="L394" s="26">
        <v>3.89</v>
      </c>
      <c r="M394" s="25">
        <v>8.0299999999999996E-2</v>
      </c>
      <c r="N394" s="25">
        <v>-4.1999999999999997E-3</v>
      </c>
      <c r="O394">
        <v>2.33</v>
      </c>
      <c r="P394" s="25">
        <v>0.1144</v>
      </c>
      <c r="Q394" s="25">
        <v>-1.29E-2</v>
      </c>
      <c r="R394" s="26">
        <v>7967230</v>
      </c>
      <c r="S394" s="26">
        <v>3314060000</v>
      </c>
      <c r="T394">
        <v>1.28</v>
      </c>
      <c r="U394" s="25">
        <v>0.21640000000000001</v>
      </c>
    </row>
    <row r="395" spans="1:21" x14ac:dyDescent="0.25">
      <c r="A395" t="s">
        <v>454</v>
      </c>
      <c r="B395">
        <v>9.98</v>
      </c>
      <c r="C395">
        <v>-0.97</v>
      </c>
      <c r="D395">
        <v>-0.12</v>
      </c>
      <c r="E395">
        <v>0.36099999999999999</v>
      </c>
      <c r="F395" s="25">
        <v>0</v>
      </c>
      <c r="G395">
        <v>0.252</v>
      </c>
      <c r="H395">
        <v>-0.25</v>
      </c>
      <c r="I395">
        <v>-8.68</v>
      </c>
      <c r="J395">
        <v>-0.09</v>
      </c>
      <c r="K395">
        <v>-74.67</v>
      </c>
      <c r="L395" s="26">
        <v>-1349.04</v>
      </c>
      <c r="M395" s="25">
        <v>-4.1599999999999998E-2</v>
      </c>
      <c r="N395" s="25">
        <v>-0.37230000000000002</v>
      </c>
      <c r="O395">
        <v>0.27</v>
      </c>
      <c r="P395" s="25">
        <v>-3.0599999999999999E-2</v>
      </c>
      <c r="Q395" s="25">
        <v>0.1215</v>
      </c>
      <c r="R395" s="26">
        <v>44</v>
      </c>
      <c r="S395" s="26">
        <v>-360582000</v>
      </c>
      <c r="T395">
        <v>-0.9</v>
      </c>
      <c r="U395" s="25">
        <v>-5.1999999999999998E-3</v>
      </c>
    </row>
    <row r="396" spans="1:21" x14ac:dyDescent="0.25">
      <c r="A396" t="s">
        <v>455</v>
      </c>
      <c r="B396">
        <v>1.68</v>
      </c>
      <c r="C396">
        <v>-0.16</v>
      </c>
      <c r="D396">
        <v>-0.02</v>
      </c>
      <c r="E396">
        <v>6.0999999999999999E-2</v>
      </c>
      <c r="F396" s="25">
        <v>0</v>
      </c>
      <c r="G396">
        <v>4.2000000000000003E-2</v>
      </c>
      <c r="H396">
        <v>-0.04</v>
      </c>
      <c r="I396">
        <v>-1.46</v>
      </c>
      <c r="J396">
        <v>-0.02</v>
      </c>
      <c r="K396">
        <v>-67.45</v>
      </c>
      <c r="L396" s="26">
        <v>-1218.5999999999999</v>
      </c>
      <c r="M396" s="25">
        <v>-4.1599999999999998E-2</v>
      </c>
      <c r="N396" s="25">
        <v>-0.37230000000000002</v>
      </c>
      <c r="O396">
        <v>0.27</v>
      </c>
      <c r="P396" s="25">
        <v>-3.0599999999999999E-2</v>
      </c>
      <c r="Q396" s="25">
        <v>0.1215</v>
      </c>
      <c r="R396" s="26">
        <v>340.21</v>
      </c>
      <c r="S396" s="26">
        <v>-360582000</v>
      </c>
      <c r="T396">
        <v>-0.9</v>
      </c>
      <c r="U396" s="25">
        <v>-5.1999999999999998E-3</v>
      </c>
    </row>
    <row r="397" spans="1:21" x14ac:dyDescent="0.25">
      <c r="A397" t="s">
        <v>124</v>
      </c>
      <c r="B397">
        <v>1.4</v>
      </c>
      <c r="C397" s="26">
        <v>21.91</v>
      </c>
      <c r="D397">
        <v>0.5</v>
      </c>
      <c r="E397">
        <v>0.41599999999999998</v>
      </c>
      <c r="F397" s="25">
        <v>0.12970000000000001</v>
      </c>
      <c r="G397">
        <v>0.23799999999999999</v>
      </c>
      <c r="H397">
        <v>3.2</v>
      </c>
      <c r="I397">
        <v>-14.01</v>
      </c>
      <c r="J397">
        <v>-1.19</v>
      </c>
      <c r="K397">
        <v>-22.78</v>
      </c>
      <c r="L397" s="26">
        <v>16.64</v>
      </c>
      <c r="M397" s="25">
        <v>-2.9700000000000001E-2</v>
      </c>
      <c r="N397" s="25">
        <v>1.9E-2</v>
      </c>
      <c r="O397">
        <v>1.3</v>
      </c>
      <c r="P397" s="25">
        <v>-2.06E-2</v>
      </c>
      <c r="Q397" s="25">
        <v>2.2599999999999999E-2</v>
      </c>
      <c r="R397" s="26">
        <v>44554</v>
      </c>
      <c r="S397" s="26">
        <v>186424000</v>
      </c>
      <c r="T397">
        <v>0.59</v>
      </c>
      <c r="U397" s="25">
        <v>5.11E-2</v>
      </c>
    </row>
    <row r="398" spans="1:21" x14ac:dyDescent="0.25">
      <c r="A398" t="s">
        <v>115</v>
      </c>
      <c r="B398">
        <v>16.260000000000002</v>
      </c>
      <c r="C398">
        <v>8.01</v>
      </c>
      <c r="D398">
        <v>1.19</v>
      </c>
      <c r="E398">
        <v>0.13300000000000001</v>
      </c>
      <c r="F398" s="25">
        <v>4.2999999999999997E-2</v>
      </c>
      <c r="G398">
        <v>0.48</v>
      </c>
      <c r="H398">
        <v>2.89</v>
      </c>
      <c r="I398">
        <v>3.43</v>
      </c>
      <c r="J398">
        <v>-2.4900000000000002</v>
      </c>
      <c r="K398">
        <v>5.76</v>
      </c>
      <c r="L398">
        <v>4.67</v>
      </c>
      <c r="M398" s="25">
        <v>3.8699999999999998E-2</v>
      </c>
      <c r="N398" s="25">
        <v>1.78E-2</v>
      </c>
      <c r="O398">
        <v>1.76</v>
      </c>
      <c r="P398" s="25">
        <v>0.16789999999999999</v>
      </c>
      <c r="Q398" s="25">
        <v>0.14899999999999999</v>
      </c>
      <c r="R398" s="26">
        <v>86493800</v>
      </c>
      <c r="S398" s="26">
        <v>15195500000</v>
      </c>
      <c r="T398">
        <v>0.99</v>
      </c>
      <c r="U398" s="25">
        <v>0.11020000000000001</v>
      </c>
    </row>
    <row r="399" spans="1:21" x14ac:dyDescent="0.25">
      <c r="A399" t="s">
        <v>456</v>
      </c>
      <c r="B399">
        <v>49.36</v>
      </c>
      <c r="C399">
        <v>8.58</v>
      </c>
      <c r="D399">
        <v>2.11</v>
      </c>
      <c r="E399">
        <v>0.99099999999999999</v>
      </c>
      <c r="F399" s="25">
        <v>9.3299999999999994E-2</v>
      </c>
      <c r="G399">
        <v>0.76700000000000002</v>
      </c>
      <c r="H399">
        <v>3.53</v>
      </c>
      <c r="I399">
        <v>7.28</v>
      </c>
      <c r="J399">
        <v>-3.2</v>
      </c>
      <c r="K399">
        <v>8.5500000000000007</v>
      </c>
      <c r="L399">
        <v>5.97</v>
      </c>
      <c r="M399" s="25">
        <v>0.1361</v>
      </c>
      <c r="N399" s="25">
        <v>0.11559999999999999</v>
      </c>
      <c r="O399">
        <v>2.2400000000000002</v>
      </c>
      <c r="P399" s="25">
        <v>0.14269999999999999</v>
      </c>
      <c r="Q399" s="25">
        <v>0.2457</v>
      </c>
      <c r="R399" s="26">
        <v>189018</v>
      </c>
      <c r="S399" s="26">
        <v>2649660000</v>
      </c>
      <c r="T399">
        <v>0.93</v>
      </c>
      <c r="U399" s="25">
        <v>8.0000000000000002E-3</v>
      </c>
    </row>
    <row r="400" spans="1:21" x14ac:dyDescent="0.25">
      <c r="A400" t="s">
        <v>457</v>
      </c>
      <c r="B400">
        <v>56</v>
      </c>
      <c r="C400">
        <v>9.74</v>
      </c>
      <c r="D400">
        <v>2.39</v>
      </c>
      <c r="E400">
        <v>1.125</v>
      </c>
      <c r="F400" s="25">
        <v>9.0399999999999994E-2</v>
      </c>
      <c r="G400">
        <v>0.87</v>
      </c>
      <c r="H400">
        <v>4</v>
      </c>
      <c r="I400">
        <v>8.26</v>
      </c>
      <c r="J400">
        <v>-3.63</v>
      </c>
      <c r="K400">
        <v>9.5299999999999994</v>
      </c>
      <c r="L400">
        <v>6.65</v>
      </c>
      <c r="M400" s="25">
        <v>0.1361</v>
      </c>
      <c r="N400" s="25">
        <v>0.11559999999999999</v>
      </c>
      <c r="O400">
        <v>2.2400000000000002</v>
      </c>
      <c r="P400" s="25">
        <v>0.14269999999999999</v>
      </c>
      <c r="Q400" s="25">
        <v>0.2457</v>
      </c>
      <c r="R400" s="26">
        <v>11387</v>
      </c>
      <c r="S400" s="26">
        <v>2649660000</v>
      </c>
      <c r="T400">
        <v>0.93</v>
      </c>
      <c r="U400" s="25">
        <v>8.0000000000000002E-3</v>
      </c>
    </row>
    <row r="401" spans="1:21" x14ac:dyDescent="0.25">
      <c r="A401" t="s">
        <v>151</v>
      </c>
      <c r="B401">
        <v>55.39</v>
      </c>
      <c r="C401">
        <v>9.6300000000000008</v>
      </c>
      <c r="D401">
        <v>2.37</v>
      </c>
      <c r="E401">
        <v>1.1120000000000001</v>
      </c>
      <c r="F401" s="25">
        <v>9.1399999999999995E-2</v>
      </c>
      <c r="G401">
        <v>0.86099999999999999</v>
      </c>
      <c r="H401">
        <v>3.96</v>
      </c>
      <c r="I401">
        <v>8.17</v>
      </c>
      <c r="J401">
        <v>-3.59</v>
      </c>
      <c r="K401">
        <v>9.44</v>
      </c>
      <c r="L401">
        <v>6.59</v>
      </c>
      <c r="M401" s="25">
        <v>0.1361</v>
      </c>
      <c r="N401" s="25">
        <v>0.11559999999999999</v>
      </c>
      <c r="O401">
        <v>2.2400000000000002</v>
      </c>
      <c r="P401" s="25">
        <v>0.14269999999999999</v>
      </c>
      <c r="Q401" s="25">
        <v>0.2457</v>
      </c>
      <c r="R401" s="26">
        <v>7190220</v>
      </c>
      <c r="S401" s="26">
        <v>2649660000</v>
      </c>
      <c r="T401">
        <v>0.93</v>
      </c>
      <c r="U401" s="25">
        <v>8.0000000000000002E-3</v>
      </c>
    </row>
    <row r="402" spans="1:21" x14ac:dyDescent="0.25">
      <c r="A402" t="s">
        <v>113</v>
      </c>
      <c r="B402">
        <v>4.5199999999999996</v>
      </c>
      <c r="C402">
        <v>40.31</v>
      </c>
      <c r="D402">
        <v>0.23</v>
      </c>
      <c r="E402">
        <v>0.214</v>
      </c>
      <c r="F402" s="25">
        <v>0</v>
      </c>
      <c r="G402">
        <v>0.13900000000000001</v>
      </c>
      <c r="H402">
        <v>0.4</v>
      </c>
      <c r="I402">
        <v>6.04</v>
      </c>
      <c r="J402">
        <v>1.23</v>
      </c>
      <c r="K402">
        <v>7.37</v>
      </c>
      <c r="L402">
        <v>3.18</v>
      </c>
      <c r="M402" s="25">
        <v>3.5400000000000001E-2</v>
      </c>
      <c r="N402" s="25">
        <v>1.15E-2</v>
      </c>
      <c r="O402">
        <v>4.26</v>
      </c>
      <c r="P402" s="25">
        <v>2.98E-2</v>
      </c>
      <c r="Q402" s="25">
        <v>5.7999999999999996E-3</v>
      </c>
      <c r="R402" s="26">
        <v>2136120</v>
      </c>
      <c r="S402" s="26">
        <v>24175800000</v>
      </c>
      <c r="T402">
        <v>0.32</v>
      </c>
      <c r="U402" s="25">
        <v>3.7600000000000001E-2</v>
      </c>
    </row>
    <row r="403" spans="1:21" x14ac:dyDescent="0.25">
      <c r="A403" t="s">
        <v>125</v>
      </c>
      <c r="B403">
        <v>4.3600000000000003</v>
      </c>
      <c r="C403">
        <v>38.880000000000003</v>
      </c>
      <c r="D403">
        <v>0.23</v>
      </c>
      <c r="E403">
        <v>0.20599999999999999</v>
      </c>
      <c r="F403" s="25">
        <v>0</v>
      </c>
      <c r="G403">
        <v>0.13400000000000001</v>
      </c>
      <c r="H403">
        <v>0.39</v>
      </c>
      <c r="I403">
        <v>5.82</v>
      </c>
      <c r="J403">
        <v>1.19</v>
      </c>
      <c r="K403">
        <v>7.16</v>
      </c>
      <c r="L403">
        <v>3.09</v>
      </c>
      <c r="M403" s="25">
        <v>3.5400000000000001E-2</v>
      </c>
      <c r="N403" s="25">
        <v>1.15E-2</v>
      </c>
      <c r="O403">
        <v>4.26</v>
      </c>
      <c r="P403" s="25">
        <v>2.98E-2</v>
      </c>
      <c r="Q403" s="25">
        <v>5.7999999999999996E-3</v>
      </c>
      <c r="R403" s="26">
        <v>67185700</v>
      </c>
      <c r="S403" s="26">
        <v>24175800000</v>
      </c>
      <c r="T403">
        <v>0.32</v>
      </c>
      <c r="U403" s="25">
        <v>3.7600000000000001E-2</v>
      </c>
    </row>
    <row r="404" spans="1:21" x14ac:dyDescent="0.25">
      <c r="A404" t="s">
        <v>458</v>
      </c>
      <c r="B404">
        <v>8</v>
      </c>
      <c r="C404">
        <v>71.34</v>
      </c>
      <c r="D404">
        <v>0.41</v>
      </c>
      <c r="E404">
        <v>0.378</v>
      </c>
      <c r="F404" s="25">
        <v>0</v>
      </c>
      <c r="G404">
        <v>0.246</v>
      </c>
      <c r="H404">
        <v>0.71</v>
      </c>
      <c r="I404">
        <v>10.68</v>
      </c>
      <c r="J404">
        <v>2.17</v>
      </c>
      <c r="K404">
        <v>12.02</v>
      </c>
      <c r="L404">
        <v>5.19</v>
      </c>
      <c r="M404" s="25">
        <v>3.5400000000000001E-2</v>
      </c>
      <c r="N404" s="25">
        <v>1.15E-2</v>
      </c>
      <c r="O404">
        <v>4.26</v>
      </c>
      <c r="P404" s="25">
        <v>2.98E-2</v>
      </c>
      <c r="Q404" s="25">
        <v>5.7999999999999996E-3</v>
      </c>
      <c r="R404" s="26">
        <v>95.24</v>
      </c>
      <c r="S404" s="26">
        <v>24175800000</v>
      </c>
      <c r="T404">
        <v>0.32</v>
      </c>
      <c r="U404" s="25">
        <v>3.7600000000000001E-2</v>
      </c>
    </row>
    <row r="405" spans="1:21" x14ac:dyDescent="0.25">
      <c r="A405" t="s">
        <v>97</v>
      </c>
      <c r="B405">
        <v>57.42</v>
      </c>
      <c r="C405">
        <v>8.2799999999999994</v>
      </c>
      <c r="D405">
        <v>1.29</v>
      </c>
      <c r="E405">
        <v>1.232</v>
      </c>
      <c r="F405" s="25">
        <v>8.2799999999999999E-2</v>
      </c>
      <c r="G405">
        <v>0.54400000000000004</v>
      </c>
      <c r="H405">
        <v>31.23</v>
      </c>
      <c r="I405">
        <v>3.65</v>
      </c>
      <c r="J405">
        <v>-1.4</v>
      </c>
      <c r="K405">
        <v>4.63</v>
      </c>
      <c r="L405">
        <v>3.73</v>
      </c>
      <c r="M405" s="25">
        <v>0.33779999999999999</v>
      </c>
      <c r="N405" s="25">
        <v>0.1431</v>
      </c>
      <c r="O405">
        <v>1.1100000000000001</v>
      </c>
      <c r="P405" s="25">
        <v>0.1658</v>
      </c>
      <c r="Q405" s="25">
        <v>0.15570000000000001</v>
      </c>
      <c r="R405" s="26">
        <v>1215320000</v>
      </c>
      <c r="S405" s="26">
        <v>202082000000</v>
      </c>
      <c r="T405">
        <v>0.46</v>
      </c>
      <c r="U405" s="25">
        <v>-5.9799999999999999E-2</v>
      </c>
    </row>
    <row r="406" spans="1:21" x14ac:dyDescent="0.25">
      <c r="A406" t="s">
        <v>213</v>
      </c>
      <c r="B406">
        <v>3.89</v>
      </c>
      <c r="C406">
        <v>13.75</v>
      </c>
      <c r="D406">
        <v>1.69</v>
      </c>
      <c r="E406">
        <v>0.97699999999999998</v>
      </c>
      <c r="F406" s="25">
        <v>7.0400000000000004E-2</v>
      </c>
      <c r="G406">
        <v>0.188</v>
      </c>
      <c r="H406">
        <v>1.54</v>
      </c>
      <c r="I406">
        <v>1.53</v>
      </c>
      <c r="J406">
        <v>-0.3</v>
      </c>
      <c r="K406">
        <v>5.86</v>
      </c>
      <c r="L406">
        <v>4.51</v>
      </c>
      <c r="M406" s="25">
        <v>0.63870000000000005</v>
      </c>
      <c r="N406" s="25">
        <v>7.0999999999999994E-2</v>
      </c>
      <c r="O406">
        <v>1.86</v>
      </c>
      <c r="P406" s="25">
        <v>0.16239999999999999</v>
      </c>
      <c r="Q406" s="25">
        <v>0.1229</v>
      </c>
      <c r="R406" s="26">
        <v>64789800</v>
      </c>
      <c r="S406" s="26">
        <v>2488240000</v>
      </c>
      <c r="T406">
        <v>6.58</v>
      </c>
      <c r="U406" s="25">
        <v>0.27750000000000002</v>
      </c>
    </row>
    <row r="407" spans="1:21" x14ac:dyDescent="0.25">
      <c r="A407" t="s">
        <v>116</v>
      </c>
      <c r="B407">
        <v>20.21</v>
      </c>
      <c r="C407">
        <v>3.65</v>
      </c>
      <c r="D407">
        <v>1.1000000000000001</v>
      </c>
      <c r="E407">
        <v>0.127</v>
      </c>
      <c r="F407" s="25">
        <v>6.5100000000000005E-2</v>
      </c>
      <c r="G407">
        <v>0.36299999999999999</v>
      </c>
      <c r="H407">
        <v>1.8</v>
      </c>
      <c r="I407">
        <v>4.97</v>
      </c>
      <c r="J407">
        <v>-1.48</v>
      </c>
      <c r="K407">
        <v>9.56</v>
      </c>
      <c r="L407">
        <v>8.36</v>
      </c>
      <c r="M407" s="25">
        <v>2.5600000000000001E-2</v>
      </c>
      <c r="N407" s="25">
        <v>3.4799999999999998E-2</v>
      </c>
      <c r="O407">
        <v>1.94</v>
      </c>
      <c r="P407" s="25">
        <v>8.4500000000000006E-2</v>
      </c>
      <c r="Q407" s="25">
        <v>0.30130000000000001</v>
      </c>
      <c r="R407" s="26">
        <v>214664000</v>
      </c>
      <c r="S407" s="26">
        <v>20557000000</v>
      </c>
      <c r="T407">
        <v>1.28</v>
      </c>
      <c r="U407" s="25">
        <v>0.1709</v>
      </c>
    </row>
    <row r="408" spans="1:21" x14ac:dyDescent="0.25">
      <c r="A408" t="s">
        <v>220</v>
      </c>
      <c r="B408">
        <v>4.83</v>
      </c>
      <c r="C408">
        <v>9.9700000000000006</v>
      </c>
      <c r="D408">
        <v>1.1499999999999999</v>
      </c>
      <c r="E408">
        <v>0.90400000000000003</v>
      </c>
      <c r="F408" s="25">
        <v>6.4100000000000004E-2</v>
      </c>
      <c r="G408">
        <v>0.73599999999999999</v>
      </c>
      <c r="H408">
        <v>1.87</v>
      </c>
      <c r="I408">
        <v>8.61</v>
      </c>
      <c r="J408">
        <v>2.74</v>
      </c>
      <c r="K408">
        <v>11.58</v>
      </c>
      <c r="L408">
        <v>9.15</v>
      </c>
      <c r="M408" s="25">
        <v>0.105</v>
      </c>
      <c r="N408" s="25">
        <v>9.0399999999999994E-2</v>
      </c>
      <c r="O408">
        <v>2.67</v>
      </c>
      <c r="P408" s="25">
        <v>8.9099999999999999E-2</v>
      </c>
      <c r="Q408" s="25">
        <v>0.1159</v>
      </c>
      <c r="R408" s="26">
        <v>1098590</v>
      </c>
      <c r="S408" s="26">
        <v>628625000</v>
      </c>
      <c r="T408">
        <v>0.43</v>
      </c>
      <c r="U408" s="25">
        <v>5.5399999999999998E-2</v>
      </c>
    </row>
    <row r="409" spans="1:21" x14ac:dyDescent="0.25">
      <c r="A409" t="s">
        <v>142</v>
      </c>
      <c r="B409">
        <v>25.39</v>
      </c>
      <c r="C409">
        <v>8.19</v>
      </c>
      <c r="D409">
        <v>2.2999999999999998</v>
      </c>
      <c r="E409">
        <v>2.246</v>
      </c>
      <c r="F409" s="25">
        <v>2.5999999999999999E-2</v>
      </c>
      <c r="G409">
        <v>1.4179999999999999</v>
      </c>
      <c r="H409">
        <v>3.16</v>
      </c>
      <c r="I409">
        <v>9.19</v>
      </c>
      <c r="J409">
        <v>5.83</v>
      </c>
      <c r="K409">
        <v>9.6300000000000008</v>
      </c>
      <c r="L409">
        <v>7.79</v>
      </c>
      <c r="M409" s="25">
        <v>0.2445</v>
      </c>
      <c r="N409" s="25">
        <v>0.27439999999999998</v>
      </c>
      <c r="O409">
        <v>3.54</v>
      </c>
      <c r="P409" s="25">
        <v>0.16789999999999999</v>
      </c>
      <c r="Q409" s="25">
        <v>0.28050000000000003</v>
      </c>
      <c r="R409" s="26">
        <v>77080300</v>
      </c>
      <c r="S409" s="26">
        <v>2611940000</v>
      </c>
      <c r="T409">
        <v>0.18</v>
      </c>
      <c r="U409" s="25">
        <v>0.24540000000000001</v>
      </c>
    </row>
    <row r="410" spans="1:21" x14ac:dyDescent="0.25">
      <c r="A410" t="s">
        <v>254</v>
      </c>
      <c r="B410">
        <v>0.83</v>
      </c>
      <c r="C410">
        <v>-0.72</v>
      </c>
      <c r="D410">
        <v>0.22</v>
      </c>
      <c r="E410">
        <v>0.28199999999999997</v>
      </c>
      <c r="F410" s="25">
        <v>0</v>
      </c>
      <c r="G410">
        <v>0.114</v>
      </c>
      <c r="H410">
        <v>0.65</v>
      </c>
      <c r="I410">
        <v>12.78</v>
      </c>
      <c r="J410">
        <v>-2.46</v>
      </c>
      <c r="K410">
        <v>13.2</v>
      </c>
      <c r="L410">
        <v>11.31</v>
      </c>
      <c r="M410" s="25">
        <v>2.2100000000000002E-2</v>
      </c>
      <c r="N410" s="25">
        <v>-0.38350000000000001</v>
      </c>
      <c r="O410">
        <v>1.71</v>
      </c>
      <c r="P410" s="25">
        <v>9.7000000000000003E-3</v>
      </c>
      <c r="Q410" s="25">
        <v>-0.312</v>
      </c>
      <c r="R410" s="26">
        <v>24928</v>
      </c>
      <c r="S410" s="26">
        <v>142168000</v>
      </c>
      <c r="T410">
        <v>0.15</v>
      </c>
      <c r="U410" s="25">
        <v>0.2097</v>
      </c>
    </row>
    <row r="411" spans="1:21" x14ac:dyDescent="0.25">
      <c r="A411" t="s">
        <v>152</v>
      </c>
      <c r="B411">
        <v>30.7</v>
      </c>
      <c r="C411">
        <v>17.53</v>
      </c>
      <c r="D411">
        <v>1.47</v>
      </c>
      <c r="E411">
        <v>1.766</v>
      </c>
      <c r="F411" s="25">
        <v>5.2499999999999998E-2</v>
      </c>
      <c r="G411">
        <v>0.79100000000000004</v>
      </c>
      <c r="H411">
        <v>-104.25</v>
      </c>
      <c r="I411">
        <v>11.92</v>
      </c>
      <c r="J411">
        <v>-3.07</v>
      </c>
      <c r="K411">
        <v>13.39</v>
      </c>
      <c r="L411">
        <v>4.9000000000000004</v>
      </c>
      <c r="M411" s="25">
        <v>0.14810000000000001</v>
      </c>
      <c r="N411" s="25">
        <v>0.1009</v>
      </c>
      <c r="O411">
        <v>0.96</v>
      </c>
      <c r="P411" s="25">
        <v>7.7100000000000002E-2</v>
      </c>
      <c r="Q411" s="25">
        <v>8.3900000000000002E-2</v>
      </c>
      <c r="R411" s="26">
        <v>205485000</v>
      </c>
      <c r="S411" s="26">
        <v>68076000000</v>
      </c>
      <c r="T411">
        <v>0.3</v>
      </c>
      <c r="U411" s="25">
        <v>7.4499999999999997E-2</v>
      </c>
    </row>
    <row r="412" spans="1:21" x14ac:dyDescent="0.25">
      <c r="A412" t="s">
        <v>59</v>
      </c>
      <c r="B412">
        <v>22.33</v>
      </c>
      <c r="C412">
        <v>5.96</v>
      </c>
      <c r="D412">
        <v>1.04</v>
      </c>
      <c r="E412">
        <v>0.83499999999999996</v>
      </c>
      <c r="F412" s="25">
        <v>0.1211</v>
      </c>
      <c r="G412">
        <v>0.62</v>
      </c>
      <c r="H412">
        <v>1.86</v>
      </c>
      <c r="I412">
        <v>4.8099999999999996</v>
      </c>
      <c r="J412">
        <v>5.6</v>
      </c>
      <c r="K412">
        <v>4.6900000000000004</v>
      </c>
      <c r="L412">
        <v>3.68</v>
      </c>
      <c r="M412" s="25">
        <v>0.17369999999999999</v>
      </c>
      <c r="N412" s="25">
        <v>0.1401</v>
      </c>
      <c r="O412">
        <v>2.83</v>
      </c>
      <c r="P412" s="25">
        <v>0.1787</v>
      </c>
      <c r="Q412" s="25">
        <v>0.17510000000000001</v>
      </c>
      <c r="R412" s="26">
        <v>7060810</v>
      </c>
      <c r="S412" s="26">
        <v>1750530000</v>
      </c>
      <c r="T412">
        <v>0.34</v>
      </c>
      <c r="U412" s="25">
        <v>1.8200000000000001E-2</v>
      </c>
    </row>
    <row r="413" spans="1:21" x14ac:dyDescent="0.25">
      <c r="A413" t="s">
        <v>261</v>
      </c>
      <c r="B413">
        <v>5.99</v>
      </c>
      <c r="C413">
        <v>-73.06</v>
      </c>
      <c r="D413">
        <v>0.67</v>
      </c>
      <c r="E413">
        <v>0.60599999999999998</v>
      </c>
      <c r="F413" s="25">
        <v>2.0000000000000001E-4</v>
      </c>
      <c r="G413">
        <v>0.41599999999999998</v>
      </c>
      <c r="H413">
        <v>4.8600000000000003</v>
      </c>
      <c r="I413">
        <v>16.350000000000001</v>
      </c>
      <c r="J413">
        <v>-5.07</v>
      </c>
      <c r="K413">
        <v>23.47</v>
      </c>
      <c r="L413">
        <v>4.59</v>
      </c>
      <c r="M413" s="25">
        <v>3.7100000000000001E-2</v>
      </c>
      <c r="N413" s="25">
        <v>-8.3000000000000001E-3</v>
      </c>
      <c r="O413">
        <v>1.41</v>
      </c>
      <c r="P413" s="25">
        <v>2.8400000000000002E-2</v>
      </c>
      <c r="Q413" s="25">
        <v>-9.1000000000000004E-3</v>
      </c>
      <c r="R413" s="26">
        <v>180566</v>
      </c>
      <c r="S413" s="26">
        <v>1029440000</v>
      </c>
      <c r="T413">
        <v>0.33</v>
      </c>
      <c r="U413" s="25">
        <v>0.16880000000000001</v>
      </c>
    </row>
    <row r="414" spans="1:21" x14ac:dyDescent="0.25">
      <c r="A414" t="s">
        <v>459</v>
      </c>
      <c r="B414">
        <v>8.77</v>
      </c>
      <c r="C414">
        <v>3.56</v>
      </c>
      <c r="D414">
        <v>0.45</v>
      </c>
      <c r="E414">
        <v>0.53900000000000003</v>
      </c>
      <c r="F414" s="25">
        <v>2.5000000000000001E-3</v>
      </c>
      <c r="G414">
        <v>0.19800000000000001</v>
      </c>
      <c r="H414">
        <v>2.2999999999999998</v>
      </c>
      <c r="I414">
        <v>1.59</v>
      </c>
      <c r="J414">
        <v>-0.49</v>
      </c>
      <c r="K414">
        <v>4.09</v>
      </c>
      <c r="L414">
        <v>3.16</v>
      </c>
      <c r="M414" s="25">
        <v>0.33910000000000001</v>
      </c>
      <c r="N414" s="25">
        <v>0.1515</v>
      </c>
      <c r="O414">
        <v>2.15</v>
      </c>
      <c r="P414" s="25">
        <v>0.14149999999999999</v>
      </c>
      <c r="Q414" s="25">
        <v>0.1268</v>
      </c>
      <c r="R414" s="26">
        <v>6184850</v>
      </c>
      <c r="S414" s="26">
        <v>2608610000</v>
      </c>
      <c r="T414">
        <v>0.93</v>
      </c>
      <c r="U414" s="25">
        <v>0.1741</v>
      </c>
    </row>
    <row r="415" spans="1:21" x14ac:dyDescent="0.25">
      <c r="A415" t="s">
        <v>190</v>
      </c>
      <c r="B415">
        <v>18.600000000000001</v>
      </c>
      <c r="C415">
        <v>8.73</v>
      </c>
      <c r="D415">
        <v>2.3199999999999998</v>
      </c>
      <c r="E415">
        <v>1.6259999999999999</v>
      </c>
      <c r="F415" s="25">
        <v>8.72E-2</v>
      </c>
      <c r="G415">
        <v>1.7470000000000001</v>
      </c>
      <c r="H415">
        <v>3.41</v>
      </c>
      <c r="I415">
        <v>9.16</v>
      </c>
      <c r="J415">
        <v>3.87</v>
      </c>
      <c r="K415">
        <v>9.18</v>
      </c>
      <c r="L415">
        <v>7.66</v>
      </c>
      <c r="M415" s="25">
        <v>0.17749999999999999</v>
      </c>
      <c r="N415" s="25">
        <v>0.18629999999999999</v>
      </c>
      <c r="O415">
        <v>3.74</v>
      </c>
      <c r="P415" s="25">
        <v>0.22</v>
      </c>
      <c r="Q415" s="25">
        <v>0.26619999999999999</v>
      </c>
      <c r="R415" s="26">
        <v>11889900</v>
      </c>
      <c r="S415" s="26">
        <v>2205960000</v>
      </c>
      <c r="T415">
        <v>0.12</v>
      </c>
      <c r="U415" s="25">
        <v>0.24379999999999999</v>
      </c>
    </row>
    <row r="416" spans="1:21" x14ac:dyDescent="0.25">
      <c r="A416" t="s">
        <v>222</v>
      </c>
      <c r="B416">
        <v>1.1100000000000001</v>
      </c>
      <c r="C416">
        <v>-0.24</v>
      </c>
      <c r="D416">
        <v>0.19</v>
      </c>
      <c r="E416">
        <v>3.1E-2</v>
      </c>
      <c r="F416" s="25">
        <v>0</v>
      </c>
      <c r="G416">
        <v>3.7999999999999999E-2</v>
      </c>
      <c r="H416">
        <v>0.15</v>
      </c>
      <c r="I416">
        <v>-2.35</v>
      </c>
      <c r="J416">
        <v>-0.15</v>
      </c>
      <c r="K416">
        <v>-21.32</v>
      </c>
      <c r="L416">
        <v>19.72</v>
      </c>
      <c r="M416" s="25">
        <v>-1.3299999999999999E-2</v>
      </c>
      <c r="N416" s="25">
        <v>-0.1295</v>
      </c>
      <c r="O416">
        <v>1.85</v>
      </c>
      <c r="P416" s="25">
        <v>-2.3E-2</v>
      </c>
      <c r="Q416" s="25">
        <v>-0.79069999999999996</v>
      </c>
      <c r="R416" s="26">
        <v>830872</v>
      </c>
      <c r="S416" s="26">
        <v>1868630000</v>
      </c>
      <c r="T416">
        <v>2.02</v>
      </c>
      <c r="U416" s="25">
        <v>0.1948</v>
      </c>
    </row>
    <row r="417" spans="1:21" x14ac:dyDescent="0.25">
      <c r="A417" t="s">
        <v>77</v>
      </c>
      <c r="B417">
        <v>38.01</v>
      </c>
      <c r="C417">
        <v>24.89</v>
      </c>
      <c r="D417">
        <v>7.18</v>
      </c>
      <c r="E417">
        <v>3.895</v>
      </c>
      <c r="F417" s="25">
        <v>2.1399999999999999E-2</v>
      </c>
      <c r="G417">
        <v>4.0049999999999999</v>
      </c>
      <c r="H417">
        <v>14.45</v>
      </c>
      <c r="I417">
        <v>17.82</v>
      </c>
      <c r="J417">
        <v>18.53</v>
      </c>
      <c r="K417">
        <v>17.47</v>
      </c>
      <c r="L417">
        <v>15.84</v>
      </c>
      <c r="M417" s="25">
        <v>0.21859999999999999</v>
      </c>
      <c r="N417" s="25">
        <v>0.16500000000000001</v>
      </c>
      <c r="O417">
        <v>1.77</v>
      </c>
      <c r="P417" s="25">
        <v>0.2863</v>
      </c>
      <c r="Q417" s="25">
        <v>0.28860000000000002</v>
      </c>
      <c r="R417" s="26">
        <v>350176000</v>
      </c>
      <c r="S417" s="26">
        <v>22215900000</v>
      </c>
      <c r="T417">
        <v>0.12</v>
      </c>
      <c r="U417" s="25">
        <v>0.17599999999999999</v>
      </c>
    </row>
    <row r="418" spans="1:21" x14ac:dyDescent="0.25">
      <c r="A418" t="s">
        <v>84</v>
      </c>
      <c r="B418">
        <v>3.69</v>
      </c>
      <c r="C418">
        <v>-2.09</v>
      </c>
      <c r="D418">
        <v>0.19</v>
      </c>
      <c r="E418">
        <v>0.25600000000000001</v>
      </c>
      <c r="F418" s="25">
        <v>0</v>
      </c>
      <c r="G418">
        <v>0.13700000000000001</v>
      </c>
      <c r="H418">
        <v>0.36</v>
      </c>
      <c r="I418">
        <v>-0.94</v>
      </c>
      <c r="J418">
        <v>0.43</v>
      </c>
      <c r="K418">
        <v>1.36</v>
      </c>
      <c r="L418">
        <v>2.27</v>
      </c>
      <c r="M418" s="25">
        <v>-0.27200000000000002</v>
      </c>
      <c r="N418" s="25">
        <v>-0.12230000000000001</v>
      </c>
      <c r="O418">
        <v>2.91</v>
      </c>
      <c r="P418" s="25">
        <v>-0.2752</v>
      </c>
      <c r="Q418" s="25">
        <v>-8.8599999999999998E-2</v>
      </c>
      <c r="R418" s="26">
        <v>29836.2</v>
      </c>
      <c r="S418" s="26">
        <v>221569000</v>
      </c>
      <c r="T418">
        <v>0.05</v>
      </c>
      <c r="U418" s="25">
        <v>-0.12529999999999999</v>
      </c>
    </row>
    <row r="419" spans="1:21" x14ac:dyDescent="0.25">
      <c r="A419" t="s">
        <v>460</v>
      </c>
      <c r="B419">
        <v>4.18</v>
      </c>
      <c r="C419">
        <v>7.02</v>
      </c>
      <c r="D419">
        <v>2.29</v>
      </c>
      <c r="E419">
        <v>0.47699999999999998</v>
      </c>
      <c r="F419" s="25">
        <v>0.17180000000000001</v>
      </c>
      <c r="G419">
        <v>0.625</v>
      </c>
      <c r="H419">
        <v>14.81</v>
      </c>
      <c r="I419">
        <v>5.43</v>
      </c>
      <c r="J419">
        <v>-16.34</v>
      </c>
      <c r="K419">
        <v>3.9</v>
      </c>
      <c r="L419">
        <v>3.2</v>
      </c>
      <c r="M419" s="25">
        <v>8.7900000000000006E-2</v>
      </c>
      <c r="N419" s="25">
        <v>6.8099999999999994E-2</v>
      </c>
      <c r="O419">
        <v>1.07</v>
      </c>
      <c r="P419" s="25">
        <v>0.38919999999999999</v>
      </c>
      <c r="Q419" s="25">
        <v>0.32669999999999999</v>
      </c>
      <c r="R419" s="26">
        <v>23869.7</v>
      </c>
      <c r="S419" s="26">
        <v>2738890000</v>
      </c>
      <c r="T419">
        <v>0.41</v>
      </c>
      <c r="U419" s="25">
        <v>5.9700000000000003E-2</v>
      </c>
    </row>
    <row r="420" spans="1:21" x14ac:dyDescent="0.25">
      <c r="A420" t="s">
        <v>13</v>
      </c>
      <c r="B420">
        <v>4.1500000000000004</v>
      </c>
      <c r="C420">
        <v>6.97</v>
      </c>
      <c r="D420">
        <v>2.2799999999999998</v>
      </c>
      <c r="E420">
        <v>0.47399999999999998</v>
      </c>
      <c r="F420" s="25">
        <v>0.19040000000000001</v>
      </c>
      <c r="G420">
        <v>0.62</v>
      </c>
      <c r="H420">
        <v>14.7</v>
      </c>
      <c r="I420">
        <v>5.39</v>
      </c>
      <c r="J420">
        <v>-16.23</v>
      </c>
      <c r="K420">
        <v>3.87</v>
      </c>
      <c r="L420">
        <v>3.17</v>
      </c>
      <c r="M420" s="25">
        <v>8.7900000000000006E-2</v>
      </c>
      <c r="N420" s="25">
        <v>6.8099999999999994E-2</v>
      </c>
      <c r="O420">
        <v>1.07</v>
      </c>
      <c r="P420" s="25">
        <v>0.38919999999999999</v>
      </c>
      <c r="Q420" s="25">
        <v>0.32669999999999999</v>
      </c>
      <c r="R420" s="26">
        <v>141601</v>
      </c>
      <c r="S420" s="26">
        <v>2738890000</v>
      </c>
      <c r="T420">
        <v>0.41</v>
      </c>
      <c r="U420" s="25">
        <v>5.9700000000000003E-2</v>
      </c>
    </row>
    <row r="421" spans="1:21" x14ac:dyDescent="0.25">
      <c r="A421" t="s">
        <v>119</v>
      </c>
      <c r="B421">
        <v>7.19</v>
      </c>
      <c r="C421">
        <v>6.79</v>
      </c>
      <c r="D421">
        <v>1.94</v>
      </c>
      <c r="E421">
        <v>0.88100000000000001</v>
      </c>
      <c r="F421" s="25">
        <v>3.4799999999999998E-2</v>
      </c>
      <c r="G421">
        <v>0.44900000000000001</v>
      </c>
      <c r="H421">
        <v>48.83</v>
      </c>
      <c r="I421">
        <v>1.76</v>
      </c>
      <c r="J421">
        <v>-1.6</v>
      </c>
      <c r="K421">
        <v>1.71</v>
      </c>
      <c r="L421">
        <v>1.45</v>
      </c>
      <c r="M421" s="25">
        <v>0.49940000000000001</v>
      </c>
      <c r="N421" s="25">
        <v>0.2402</v>
      </c>
      <c r="O421">
        <v>1.04</v>
      </c>
      <c r="P421" s="25">
        <v>0.33579999999999999</v>
      </c>
      <c r="Q421" s="25">
        <v>0.28539999999999999</v>
      </c>
      <c r="R421" s="26">
        <v>3202290</v>
      </c>
      <c r="S421" s="26">
        <v>593034000</v>
      </c>
      <c r="T421">
        <v>0.68</v>
      </c>
      <c r="U421" s="25">
        <v>0.12720000000000001</v>
      </c>
    </row>
    <row r="422" spans="1:21" x14ac:dyDescent="0.25">
      <c r="A422" t="s">
        <v>461</v>
      </c>
      <c r="B422">
        <v>24</v>
      </c>
      <c r="C422">
        <v>7.01</v>
      </c>
      <c r="D422">
        <v>1.1000000000000001</v>
      </c>
      <c r="E422">
        <v>0.28599999999999998</v>
      </c>
      <c r="F422" s="25">
        <v>6.1100000000000002E-2</v>
      </c>
      <c r="G422">
        <v>0.61299999999999999</v>
      </c>
      <c r="H422">
        <v>1.79</v>
      </c>
      <c r="I422">
        <v>4.99</v>
      </c>
      <c r="J422">
        <v>4.09</v>
      </c>
      <c r="K422">
        <v>6.92</v>
      </c>
      <c r="L422">
        <v>6.68</v>
      </c>
      <c r="M422" s="25">
        <v>5.7299999999999997E-2</v>
      </c>
      <c r="N422" s="25">
        <v>4.0800000000000003E-2</v>
      </c>
      <c r="O422">
        <v>2.36</v>
      </c>
      <c r="P422" s="25">
        <v>0.1381</v>
      </c>
      <c r="Q422" s="25">
        <v>0.15690000000000001</v>
      </c>
      <c r="R422" s="26">
        <v>1131.19</v>
      </c>
      <c r="S422" s="26">
        <v>794718000</v>
      </c>
      <c r="T422">
        <v>0.53</v>
      </c>
      <c r="U422" s="25">
        <v>0.26329999999999998</v>
      </c>
    </row>
    <row r="423" spans="1:21" x14ac:dyDescent="0.25">
      <c r="A423" t="s">
        <v>462</v>
      </c>
      <c r="B423">
        <v>23.28</v>
      </c>
      <c r="C423">
        <v>6.8</v>
      </c>
      <c r="D423">
        <v>1.07</v>
      </c>
      <c r="E423">
        <v>0.27800000000000002</v>
      </c>
      <c r="F423" s="25">
        <v>6.93E-2</v>
      </c>
      <c r="G423">
        <v>0.59399999999999997</v>
      </c>
      <c r="H423">
        <v>1.74</v>
      </c>
      <c r="I423">
        <v>4.84</v>
      </c>
      <c r="J423">
        <v>3.97</v>
      </c>
      <c r="K423">
        <v>6.77</v>
      </c>
      <c r="L423">
        <v>6.53</v>
      </c>
      <c r="M423" s="25">
        <v>5.7299999999999997E-2</v>
      </c>
      <c r="N423" s="25">
        <v>4.0800000000000003E-2</v>
      </c>
      <c r="O423">
        <v>2.36</v>
      </c>
      <c r="P423" s="25">
        <v>0.1381</v>
      </c>
      <c r="Q423" s="25">
        <v>0.15690000000000001</v>
      </c>
      <c r="R423" s="26">
        <v>45706.8</v>
      </c>
      <c r="S423" s="26">
        <v>794718000</v>
      </c>
      <c r="T423">
        <v>0.53</v>
      </c>
      <c r="U423" s="25">
        <v>0.26329999999999998</v>
      </c>
    </row>
    <row r="424" spans="1:21" x14ac:dyDescent="0.25">
      <c r="A424" t="s">
        <v>206</v>
      </c>
      <c r="B424">
        <v>13.01</v>
      </c>
      <c r="C424">
        <v>11.16</v>
      </c>
      <c r="D424">
        <v>1.1499999999999999</v>
      </c>
      <c r="E424">
        <v>0.66300000000000003</v>
      </c>
      <c r="F424" s="25">
        <v>4.3900000000000002E-2</v>
      </c>
      <c r="G424">
        <v>0.36299999999999999</v>
      </c>
      <c r="H424">
        <v>5.58</v>
      </c>
      <c r="I424">
        <v>4.09</v>
      </c>
      <c r="J424">
        <v>-0.83</v>
      </c>
      <c r="K424" s="26">
        <v>9.19</v>
      </c>
      <c r="L424">
        <v>4.7300000000000004</v>
      </c>
      <c r="M424" s="25">
        <v>0.16200000000000001</v>
      </c>
      <c r="N424" s="25">
        <v>5.9400000000000001E-2</v>
      </c>
      <c r="O424">
        <v>1.36</v>
      </c>
      <c r="P424" s="25">
        <v>0.1003</v>
      </c>
      <c r="Q424" s="25">
        <v>0.10290000000000001</v>
      </c>
      <c r="R424" s="26">
        <v>55159900</v>
      </c>
      <c r="S424" s="26">
        <v>3103980000</v>
      </c>
      <c r="T424">
        <v>1.73</v>
      </c>
      <c r="U424" s="25">
        <v>7.7600000000000002E-2</v>
      </c>
    </row>
    <row r="425" spans="1:21" x14ac:dyDescent="0.25">
      <c r="A425" t="s">
        <v>243</v>
      </c>
      <c r="B425">
        <v>3.48</v>
      </c>
      <c r="C425" s="26">
        <v>-9.83</v>
      </c>
      <c r="D425">
        <v>0.93</v>
      </c>
      <c r="E425">
        <v>0.30199999999999999</v>
      </c>
      <c r="F425" s="25">
        <v>0</v>
      </c>
      <c r="G425">
        <v>0.32600000000000001</v>
      </c>
      <c r="H425">
        <v>11.67</v>
      </c>
      <c r="I425">
        <v>-903.42</v>
      </c>
      <c r="J425">
        <v>-0.78</v>
      </c>
      <c r="K425" s="26">
        <v>-1377.77</v>
      </c>
      <c r="L425">
        <v>4.3899999999999997</v>
      </c>
      <c r="M425" s="25">
        <v>-2.9999999999999997E-4</v>
      </c>
      <c r="N425" s="25">
        <v>-3.0700000000000002E-2</v>
      </c>
      <c r="O425">
        <v>1.1399999999999999</v>
      </c>
      <c r="P425" s="25">
        <v>-4.0000000000000002E-4</v>
      </c>
      <c r="Q425" s="25">
        <v>-9.4799999999999995E-2</v>
      </c>
      <c r="R425" s="26">
        <v>2629240</v>
      </c>
      <c r="S425" s="26">
        <v>1519080000</v>
      </c>
      <c r="T425">
        <v>0.74</v>
      </c>
      <c r="U425" s="25">
        <v>0.2024</v>
      </c>
    </row>
    <row r="426" spans="1:21" x14ac:dyDescent="0.25">
      <c r="C426" s="26"/>
      <c r="F426" s="25"/>
      <c r="K426" s="26"/>
      <c r="M426" s="25"/>
      <c r="N426" s="25"/>
      <c r="P426" s="25"/>
      <c r="Q426" s="25"/>
      <c r="R426" s="26"/>
      <c r="S426" s="26"/>
      <c r="U426" s="25"/>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5D2283-556C-4F35-8238-B84D10EF6A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Bovespa</vt:lpstr>
      <vt:lpstr>Streamlit</vt:lpstr>
      <vt:lpstr>Criptos</vt:lpstr>
      <vt:lpstr>BDR</vt:lpstr>
      <vt:lpstr>ETF</vt:lpstr>
      <vt:lpstr>FII</vt:lpstr>
      <vt:lpstr>Cotacoes</vt:lpstr>
      <vt:lpstr>Fundamentus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2025-08-04T00:25:55Z</dcterms:modified>
</cp:coreProperties>
</file>